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19440" windowHeight="15600" tabRatio="896"/>
  </bookViews>
  <sheets>
    <sheet name="Introduction" sheetId="12" r:id="rId1"/>
    <sheet name="Inputs" sheetId="2" r:id="rId2"/>
    <sheet name="Model Outputs" sheetId="10" r:id="rId3"/>
    <sheet name="Calculations" sheetId="1" r:id="rId4"/>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B23" i="1" l="1"/>
  <c r="D17" i="2"/>
  <c r="D87" i="2"/>
  <c r="D83" i="2"/>
  <c r="D8" i="2"/>
  <c r="D9" i="2" s="1"/>
  <c r="D19" i="1"/>
  <c r="E19" i="1" s="1"/>
  <c r="D7" i="1"/>
  <c r="D55" i="1"/>
  <c r="E55" i="1" s="1"/>
  <c r="F55" i="1" s="1"/>
  <c r="G55" i="1" s="1"/>
  <c r="H55" i="1" s="1"/>
  <c r="I55" i="1" s="1"/>
  <c r="J55" i="1" s="1"/>
  <c r="D56" i="1"/>
  <c r="E56" i="1" s="1"/>
  <c r="D57" i="1"/>
  <c r="E57" i="1"/>
  <c r="F57" i="1" s="1"/>
  <c r="G57" i="1" s="1"/>
  <c r="H57" i="1" s="1"/>
  <c r="I57" i="1" s="1"/>
  <c r="J57" i="1" s="1"/>
  <c r="K57" i="1" s="1"/>
  <c r="L57" i="1" s="1"/>
  <c r="M57" i="1" s="1"/>
  <c r="N57" i="1" s="1"/>
  <c r="D58" i="1"/>
  <c r="E58" i="1" s="1"/>
  <c r="F58" i="1" s="1"/>
  <c r="G58" i="1" s="1"/>
  <c r="D6" i="1"/>
  <c r="D8" i="1" s="1"/>
  <c r="D47" i="1"/>
  <c r="E47" i="1"/>
  <c r="D9" i="1"/>
  <c r="D59" i="1"/>
  <c r="E59" i="1" s="1"/>
  <c r="D60" i="1"/>
  <c r="E60" i="1" s="1"/>
  <c r="F60" i="1" s="1"/>
  <c r="G60" i="1" s="1"/>
  <c r="H60" i="1" s="1"/>
  <c r="I60" i="1" s="1"/>
  <c r="J60" i="1" s="1"/>
  <c r="K60" i="1" s="1"/>
  <c r="L60" i="1" s="1"/>
  <c r="M60" i="1" s="1"/>
  <c r="N60" i="1" s="1"/>
  <c r="O60" i="1" s="1"/>
  <c r="P60" i="1" s="1"/>
  <c r="Q60" i="1" s="1"/>
  <c r="R60" i="1" s="1"/>
  <c r="S60" i="1" s="1"/>
  <c r="T60" i="1" s="1"/>
  <c r="U60" i="1" s="1"/>
  <c r="V60" i="1" s="1"/>
  <c r="W60" i="1" s="1"/>
  <c r="X60" i="1" s="1"/>
  <c r="Y60" i="1" s="1"/>
  <c r="Z60" i="1" s="1"/>
  <c r="F19" i="1"/>
  <c r="F56" i="1"/>
  <c r="G56" i="1" s="1"/>
  <c r="H56" i="1" s="1"/>
  <c r="I56" i="1" s="1"/>
  <c r="J56" i="1" s="1"/>
  <c r="K56" i="1" s="1"/>
  <c r="L56" i="1" s="1"/>
  <c r="M56" i="1" s="1"/>
  <c r="N56" i="1" s="1"/>
  <c r="O56" i="1" s="1"/>
  <c r="P56" i="1" s="1"/>
  <c r="Q56" i="1" s="1"/>
  <c r="R56" i="1" s="1"/>
  <c r="S56" i="1" s="1"/>
  <c r="T56" i="1" s="1"/>
  <c r="U56" i="1" s="1"/>
  <c r="V56" i="1" s="1"/>
  <c r="W56" i="1" s="1"/>
  <c r="X56" i="1" s="1"/>
  <c r="F47" i="1"/>
  <c r="F59" i="1"/>
  <c r="G19" i="1"/>
  <c r="G47" i="1"/>
  <c r="G59" i="1"/>
  <c r="H59" i="1" s="1"/>
  <c r="H19" i="1"/>
  <c r="H58" i="1"/>
  <c r="I58" i="1"/>
  <c r="I59" i="1"/>
  <c r="J58" i="1"/>
  <c r="K58" i="1" s="1"/>
  <c r="J59" i="1"/>
  <c r="K59" i="1" s="1"/>
  <c r="K55" i="1"/>
  <c r="L55" i="1" s="1"/>
  <c r="M55" i="1" s="1"/>
  <c r="N55" i="1" s="1"/>
  <c r="O55" i="1" s="1"/>
  <c r="P55" i="1" s="1"/>
  <c r="Q55" i="1" s="1"/>
  <c r="L58" i="1"/>
  <c r="M58" i="1"/>
  <c r="N58" i="1"/>
  <c r="D45" i="1"/>
  <c r="D11" i="1"/>
  <c r="D52" i="1"/>
  <c r="B29" i="1"/>
  <c r="B28" i="1"/>
  <c r="B27" i="1"/>
  <c r="D49" i="2"/>
  <c r="D22" i="2"/>
  <c r="O57" i="1"/>
  <c r="O58" i="1"/>
  <c r="P58" i="1" s="1"/>
  <c r="Q58" i="1" s="1"/>
  <c r="R58" i="1" s="1"/>
  <c r="P57" i="1"/>
  <c r="Q57" i="1"/>
  <c r="R57" i="1" s="1"/>
  <c r="S57" i="1" s="1"/>
  <c r="T57" i="1" s="1"/>
  <c r="R55" i="1"/>
  <c r="S55" i="1" s="1"/>
  <c r="T55" i="1" s="1"/>
  <c r="U55" i="1" s="1"/>
  <c r="V55" i="1" s="1"/>
  <c r="W55" i="1" s="1"/>
  <c r="X55" i="1" s="1"/>
  <c r="S58" i="1"/>
  <c r="T58" i="1" s="1"/>
  <c r="U58" i="1" s="1"/>
  <c r="V58" i="1" s="1"/>
  <c r="W58" i="1" s="1"/>
  <c r="X58" i="1" s="1"/>
  <c r="U57" i="1"/>
  <c r="V57" i="1" s="1"/>
  <c r="W57" i="1" s="1"/>
  <c r="X57" i="1" s="1"/>
  <c r="D53" i="1"/>
  <c r="E53" i="1"/>
  <c r="F53" i="1"/>
  <c r="G53" i="1" s="1"/>
  <c r="H53" i="1" s="1"/>
  <c r="D54" i="1"/>
  <c r="D63" i="1"/>
  <c r="D81" i="1" s="1"/>
  <c r="D46" i="1"/>
  <c r="D49" i="1"/>
  <c r="D48" i="1"/>
  <c r="D51" i="1"/>
  <c r="D10" i="1"/>
  <c r="D13" i="1"/>
  <c r="D14" i="1"/>
  <c r="E54" i="1"/>
  <c r="E45" i="1"/>
  <c r="E63" i="1"/>
  <c r="E81" i="1"/>
  <c r="E46" i="1"/>
  <c r="D50" i="1"/>
  <c r="E50" i="1" s="1"/>
  <c r="D61" i="1"/>
  <c r="E61" i="1"/>
  <c r="E48" i="1"/>
  <c r="E51" i="1"/>
  <c r="E52" i="1"/>
  <c r="D116" i="1"/>
  <c r="E116" i="1"/>
  <c r="E109" i="1"/>
  <c r="F63" i="1"/>
  <c r="F81" i="1" s="1"/>
  <c r="F46" i="1"/>
  <c r="G46" i="1" s="1"/>
  <c r="F50" i="1"/>
  <c r="F61" i="1"/>
  <c r="G61" i="1" s="1"/>
  <c r="F48" i="1"/>
  <c r="F51" i="1"/>
  <c r="G51" i="1" s="1"/>
  <c r="F52" i="1"/>
  <c r="F116" i="1"/>
  <c r="F109" i="1"/>
  <c r="G63" i="1"/>
  <c r="G81" i="1" s="1"/>
  <c r="G50" i="1"/>
  <c r="G48" i="1"/>
  <c r="G52" i="1"/>
  <c r="G116" i="1"/>
  <c r="G109" i="1"/>
  <c r="H63" i="1"/>
  <c r="H81" i="1" s="1"/>
  <c r="H46" i="1"/>
  <c r="H50" i="1"/>
  <c r="I50" i="1" s="1"/>
  <c r="H61" i="1"/>
  <c r="I61" i="1" s="1"/>
  <c r="J61" i="1" s="1"/>
  <c r="K61" i="1" s="1"/>
  <c r="L61" i="1" s="1"/>
  <c r="M61" i="1" s="1"/>
  <c r="N61" i="1" s="1"/>
  <c r="O61" i="1" s="1"/>
  <c r="P61" i="1" s="1"/>
  <c r="Q61" i="1" s="1"/>
  <c r="R61" i="1" s="1"/>
  <c r="S61" i="1" s="1"/>
  <c r="T61" i="1" s="1"/>
  <c r="U61" i="1" s="1"/>
  <c r="V61" i="1" s="1"/>
  <c r="W61" i="1" s="1"/>
  <c r="X61" i="1" s="1"/>
  <c r="H48" i="1"/>
  <c r="I48" i="1" s="1"/>
  <c r="H51" i="1"/>
  <c r="H52" i="1"/>
  <c r="H116" i="1"/>
  <c r="H109" i="1"/>
  <c r="I46" i="1"/>
  <c r="I51" i="1"/>
  <c r="I52" i="1"/>
  <c r="J52" i="1" s="1"/>
  <c r="J46" i="1"/>
  <c r="K46" i="1" s="1"/>
  <c r="J50" i="1"/>
  <c r="J48" i="1"/>
  <c r="J51" i="1"/>
  <c r="K51" i="1" s="1"/>
  <c r="K50" i="1"/>
  <c r="K48" i="1"/>
  <c r="K52" i="1"/>
  <c r="L46" i="1"/>
  <c r="L50" i="1"/>
  <c r="M50" i="1" s="1"/>
  <c r="L48" i="1"/>
  <c r="M48" i="1" s="1"/>
  <c r="L51" i="1"/>
  <c r="L52" i="1"/>
  <c r="M46" i="1"/>
  <c r="M51" i="1"/>
  <c r="M52" i="1"/>
  <c r="N50" i="1"/>
  <c r="N48" i="1"/>
  <c r="N52" i="1"/>
  <c r="O50" i="1"/>
  <c r="P50" i="1" s="1"/>
  <c r="Q50" i="1" s="1"/>
  <c r="R50" i="1" s="1"/>
  <c r="S50" i="1" s="1"/>
  <c r="T50" i="1"/>
  <c r="U50" i="1" s="1"/>
  <c r="V50" i="1"/>
  <c r="W50" i="1" s="1"/>
  <c r="X50" i="1"/>
  <c r="B53" i="1"/>
  <c r="B58" i="1"/>
  <c r="B57" i="1"/>
  <c r="B56" i="1"/>
  <c r="B55" i="1"/>
  <c r="B54" i="1"/>
  <c r="E29" i="2"/>
  <c r="B60" i="1"/>
  <c r="B59" i="1"/>
  <c r="B48" i="1"/>
  <c r="B52" i="1"/>
  <c r="B51" i="1"/>
  <c r="B26" i="1"/>
  <c r="B25" i="1"/>
  <c r="B24" i="1"/>
  <c r="B22" i="1"/>
  <c r="E47" i="2"/>
  <c r="E48" i="2"/>
  <c r="E11" i="1"/>
  <c r="E10" i="1"/>
  <c r="E9" i="1"/>
  <c r="E8" i="1"/>
  <c r="E7" i="1"/>
  <c r="E6" i="1"/>
  <c r="E5" i="1"/>
  <c r="D5" i="1"/>
  <c r="D42" i="2"/>
  <c r="E67" i="2"/>
  <c r="E66" i="2"/>
  <c r="E65" i="2"/>
  <c r="E12" i="2"/>
  <c r="E11" i="2"/>
  <c r="C13" i="10"/>
  <c r="C14" i="10" s="1"/>
  <c r="B89" i="1"/>
  <c r="B14" i="10"/>
  <c r="B121" i="1"/>
  <c r="B49" i="1"/>
  <c r="B47" i="1"/>
  <c r="B45" i="1"/>
  <c r="B41" i="1"/>
  <c r="B39" i="1"/>
  <c r="B37" i="1"/>
  <c r="B35" i="1"/>
  <c r="B34" i="1"/>
  <c r="B32" i="1"/>
  <c r="B29" i="10"/>
  <c r="D29" i="10"/>
  <c r="D14" i="10"/>
  <c r="D5" i="10"/>
  <c r="E64" i="2"/>
  <c r="E63" i="2"/>
  <c r="E62" i="2"/>
  <c r="E61" i="2"/>
  <c r="E60" i="2"/>
  <c r="E52" i="2"/>
  <c r="E51" i="2"/>
  <c r="E50" i="2"/>
  <c r="E46" i="2"/>
  <c r="E44" i="2"/>
  <c r="E41" i="2"/>
  <c r="E34" i="2"/>
  <c r="E33" i="2"/>
  <c r="E32" i="2"/>
  <c r="E31" i="2"/>
  <c r="E28" i="2"/>
  <c r="E27" i="2"/>
  <c r="E26" i="2"/>
  <c r="E23" i="2"/>
  <c r="D86" i="2"/>
  <c r="D82" i="2"/>
  <c r="D81" i="2"/>
  <c r="E110" i="1"/>
  <c r="F110" i="1"/>
  <c r="G110" i="1"/>
  <c r="H110" i="1"/>
  <c r="Y55" i="1"/>
  <c r="Z55" i="1" s="1"/>
  <c r="Y56" i="1"/>
  <c r="Z56" i="1" s="1"/>
  <c r="Y57" i="1"/>
  <c r="Z57" i="1" s="1"/>
  <c r="Y58" i="1"/>
  <c r="Z58" i="1" s="1"/>
  <c r="Y61" i="1"/>
  <c r="Z61" i="1"/>
  <c r="Y50" i="1"/>
  <c r="Z50" i="1"/>
  <c r="O52" i="1" l="1"/>
  <c r="N46" i="1"/>
  <c r="O48" i="1"/>
  <c r="F54" i="1"/>
  <c r="F45" i="1"/>
  <c r="N51" i="1"/>
  <c r="D15" i="1"/>
  <c r="D16" i="1"/>
  <c r="L59" i="1"/>
  <c r="E49" i="1"/>
  <c r="I53" i="1"/>
  <c r="I19" i="1"/>
  <c r="D20" i="1"/>
  <c r="H47" i="1"/>
  <c r="I47" i="1" l="1"/>
  <c r="F49" i="1"/>
  <c r="E20" i="1"/>
  <c r="D39" i="1"/>
  <c r="D40" i="1" s="1"/>
  <c r="D32" i="1"/>
  <c r="D71" i="1" s="1"/>
  <c r="D35" i="1"/>
  <c r="D66" i="1"/>
  <c r="D25" i="1"/>
  <c r="D34" i="1"/>
  <c r="D73" i="1" s="1"/>
  <c r="D23" i="1"/>
  <c r="D24" i="1"/>
  <c r="D69" i="1" s="1"/>
  <c r="D126" i="1" s="1"/>
  <c r="D27" i="1"/>
  <c r="D37" i="1"/>
  <c r="D38" i="1" s="1"/>
  <c r="D130" i="1" s="1"/>
  <c r="D95" i="1"/>
  <c r="D112" i="1"/>
  <c r="D41" i="1"/>
  <c r="D22" i="1"/>
  <c r="D33" i="1"/>
  <c r="D72" i="1" s="1"/>
  <c r="D74" i="1"/>
  <c r="D62" i="1"/>
  <c r="D80" i="1" s="1"/>
  <c r="D83" i="1"/>
  <c r="D75" i="1"/>
  <c r="D26" i="1"/>
  <c r="D77" i="1" s="1"/>
  <c r="D117" i="1"/>
  <c r="D106" i="1" s="1"/>
  <c r="D120" i="1"/>
  <c r="D92" i="1"/>
  <c r="D109" i="1"/>
  <c r="C16" i="10"/>
  <c r="G45" i="1"/>
  <c r="P52" i="1"/>
  <c r="J19" i="1"/>
  <c r="I63" i="1"/>
  <c r="I81" i="1" s="1"/>
  <c r="I109" i="1"/>
  <c r="I116" i="1"/>
  <c r="I110" i="1"/>
  <c r="C15" i="10"/>
  <c r="D96" i="1"/>
  <c r="D110" i="1"/>
  <c r="O51" i="1"/>
  <c r="J53" i="1"/>
  <c r="M59" i="1"/>
  <c r="G54" i="1"/>
  <c r="P48" i="1"/>
  <c r="O46" i="1"/>
  <c r="H45" i="1" l="1"/>
  <c r="D98" i="1"/>
  <c r="D100" i="1" s="1"/>
  <c r="E96" i="1" s="1"/>
  <c r="E95" i="1"/>
  <c r="D97" i="1"/>
  <c r="D36" i="1"/>
  <c r="D129" i="1" s="1"/>
  <c r="D76" i="1"/>
  <c r="G49" i="1"/>
  <c r="K53" i="1"/>
  <c r="K19" i="1"/>
  <c r="J109" i="1"/>
  <c r="J63" i="1"/>
  <c r="J81" i="1" s="1"/>
  <c r="J116" i="1"/>
  <c r="J110" i="1"/>
  <c r="N59" i="1"/>
  <c r="H54" i="1"/>
  <c r="D67" i="1"/>
  <c r="D124" i="1" s="1"/>
  <c r="D68" i="1"/>
  <c r="D125" i="1" s="1"/>
  <c r="D79" i="1"/>
  <c r="P46" i="1"/>
  <c r="Q52" i="1"/>
  <c r="D78" i="1"/>
  <c r="D85" i="1" s="1"/>
  <c r="D28" i="1"/>
  <c r="D134" i="1" s="1"/>
  <c r="D29" i="1"/>
  <c r="D42" i="1"/>
  <c r="D132" i="1" s="1"/>
  <c r="D131" i="1"/>
  <c r="Q48" i="1"/>
  <c r="P51" i="1"/>
  <c r="D104" i="1"/>
  <c r="D123" i="1"/>
  <c r="D84" i="1"/>
  <c r="D82" i="1"/>
  <c r="D70" i="1"/>
  <c r="E39" i="1"/>
  <c r="E40" i="1" s="1"/>
  <c r="E22" i="1"/>
  <c r="E23" i="1"/>
  <c r="E41" i="1"/>
  <c r="E24" i="1"/>
  <c r="E27" i="1"/>
  <c r="E35" i="1"/>
  <c r="E66" i="1"/>
  <c r="E37" i="1"/>
  <c r="E38" i="1" s="1"/>
  <c r="E130" i="1" s="1"/>
  <c r="E25" i="1"/>
  <c r="E32" i="1"/>
  <c r="E71" i="1" s="1"/>
  <c r="E75" i="1"/>
  <c r="E26" i="1"/>
  <c r="E77" i="1" s="1"/>
  <c r="E33" i="1"/>
  <c r="E72" i="1" s="1"/>
  <c r="E117" i="1"/>
  <c r="E106" i="1" s="1"/>
  <c r="E62" i="1"/>
  <c r="E80" i="1" s="1"/>
  <c r="E34" i="1"/>
  <c r="E73" i="1" s="1"/>
  <c r="E74" i="1"/>
  <c r="E83" i="1"/>
  <c r="E112" i="1"/>
  <c r="E92" i="1"/>
  <c r="E120" i="1"/>
  <c r="F20" i="1"/>
  <c r="J47" i="1"/>
  <c r="D127" i="1" l="1"/>
  <c r="D86" i="1"/>
  <c r="K47" i="1"/>
  <c r="E123" i="1"/>
  <c r="E82" i="1"/>
  <c r="E84" i="1"/>
  <c r="D103" i="1"/>
  <c r="D105" i="1" s="1"/>
  <c r="R52" i="1"/>
  <c r="L53" i="1"/>
  <c r="D133" i="1"/>
  <c r="F23" i="1"/>
  <c r="F41" i="1"/>
  <c r="F35" i="1"/>
  <c r="F66" i="1"/>
  <c r="F24" i="1"/>
  <c r="F37" i="1"/>
  <c r="F38" i="1" s="1"/>
  <c r="F130" i="1" s="1"/>
  <c r="F22" i="1"/>
  <c r="F39" i="1"/>
  <c r="F40" i="1" s="1"/>
  <c r="F25" i="1"/>
  <c r="F27" i="1"/>
  <c r="F74" i="1"/>
  <c r="F26" i="1"/>
  <c r="F77" i="1" s="1"/>
  <c r="F117" i="1"/>
  <c r="F106" i="1" s="1"/>
  <c r="F34" i="1"/>
  <c r="F73" i="1" s="1"/>
  <c r="F75" i="1"/>
  <c r="F83" i="1"/>
  <c r="F112" i="1"/>
  <c r="F32" i="1"/>
  <c r="F71" i="1" s="1"/>
  <c r="F62" i="1"/>
  <c r="F80" i="1" s="1"/>
  <c r="F33" i="1"/>
  <c r="F72" i="1" s="1"/>
  <c r="F92" i="1"/>
  <c r="F120" i="1"/>
  <c r="G20" i="1"/>
  <c r="E36" i="1"/>
  <c r="E129" i="1" s="1"/>
  <c r="E76" i="1"/>
  <c r="E85" i="1" s="1"/>
  <c r="R48" i="1"/>
  <c r="O59" i="1"/>
  <c r="H49" i="1"/>
  <c r="D99" i="1"/>
  <c r="I45" i="1"/>
  <c r="E29" i="1"/>
  <c r="E28" i="1"/>
  <c r="E134" i="1" s="1"/>
  <c r="E78" i="1"/>
  <c r="E67" i="1"/>
  <c r="E124" i="1" s="1"/>
  <c r="E79" i="1"/>
  <c r="E68" i="1"/>
  <c r="E125" i="1" s="1"/>
  <c r="Q51" i="1"/>
  <c r="Q46" i="1"/>
  <c r="L19" i="1"/>
  <c r="K63" i="1"/>
  <c r="K81" i="1" s="1"/>
  <c r="K116" i="1"/>
  <c r="K109" i="1"/>
  <c r="K110" i="1"/>
  <c r="E69" i="1"/>
  <c r="E126" i="1" s="1"/>
  <c r="E131" i="1"/>
  <c r="E42" i="1"/>
  <c r="E132" i="1" s="1"/>
  <c r="I54" i="1"/>
  <c r="E97" i="1"/>
  <c r="E99" i="1" s="1"/>
  <c r="E98" i="1"/>
  <c r="E100" i="1" s="1"/>
  <c r="F96" i="1" s="1"/>
  <c r="F95" i="1"/>
  <c r="E127" i="1" l="1"/>
  <c r="E86" i="1"/>
  <c r="E108" i="1"/>
  <c r="E87" i="1"/>
  <c r="E128" i="1" s="1"/>
  <c r="I49" i="1"/>
  <c r="G23" i="1"/>
  <c r="G41" i="1"/>
  <c r="G22" i="1"/>
  <c r="G35" i="1"/>
  <c r="G37" i="1"/>
  <c r="G38" i="1" s="1"/>
  <c r="G130" i="1" s="1"/>
  <c r="G24" i="1"/>
  <c r="G27" i="1"/>
  <c r="G25" i="1"/>
  <c r="G39" i="1"/>
  <c r="G40" i="1" s="1"/>
  <c r="G66" i="1"/>
  <c r="G62" i="1"/>
  <c r="G80" i="1" s="1"/>
  <c r="G34" i="1"/>
  <c r="G73" i="1" s="1"/>
  <c r="G32" i="1"/>
  <c r="G71" i="1" s="1"/>
  <c r="G33" i="1"/>
  <c r="G72" i="1" s="1"/>
  <c r="G117" i="1"/>
  <c r="G106" i="1" s="1"/>
  <c r="G112" i="1"/>
  <c r="G74" i="1"/>
  <c r="G26" i="1"/>
  <c r="G77" i="1" s="1"/>
  <c r="G83" i="1"/>
  <c r="G75" i="1"/>
  <c r="G92" i="1"/>
  <c r="G120" i="1"/>
  <c r="H20" i="1"/>
  <c r="F36" i="1"/>
  <c r="F129" i="1" s="1"/>
  <c r="F76" i="1"/>
  <c r="M19" i="1"/>
  <c r="L116" i="1"/>
  <c r="L63" i="1"/>
  <c r="L81" i="1" s="1"/>
  <c r="L109" i="1"/>
  <c r="L110" i="1"/>
  <c r="F28" i="1"/>
  <c r="F29" i="1"/>
  <c r="F78" i="1"/>
  <c r="L47" i="1"/>
  <c r="F97" i="1"/>
  <c r="F98" i="1"/>
  <c r="F100" i="1" s="1"/>
  <c r="G96" i="1" s="1"/>
  <c r="G95" i="1"/>
  <c r="R51" i="1"/>
  <c r="J45" i="1"/>
  <c r="E133" i="1"/>
  <c r="F69" i="1"/>
  <c r="F126" i="1" s="1"/>
  <c r="F134" i="1"/>
  <c r="M53" i="1"/>
  <c r="D107" i="1"/>
  <c r="D108" i="1"/>
  <c r="D111" i="1" s="1"/>
  <c r="D87" i="1"/>
  <c r="F68" i="1"/>
  <c r="F125" i="1" s="1"/>
  <c r="F67" i="1"/>
  <c r="F124" i="1" s="1"/>
  <c r="F79" i="1"/>
  <c r="F85" i="1" s="1"/>
  <c r="J54" i="1"/>
  <c r="R46" i="1"/>
  <c r="P59" i="1"/>
  <c r="S48" i="1"/>
  <c r="F42" i="1"/>
  <c r="F132" i="1" s="1"/>
  <c r="F131" i="1"/>
  <c r="F84" i="1"/>
  <c r="F70" i="1"/>
  <c r="F123" i="1"/>
  <c r="F82" i="1"/>
  <c r="S52" i="1"/>
  <c r="E70" i="1"/>
  <c r="E104" i="1"/>
  <c r="F127" i="1" l="1"/>
  <c r="F86" i="1"/>
  <c r="E103" i="1"/>
  <c r="E105" i="1" s="1"/>
  <c r="G98" i="1"/>
  <c r="G100" i="1" s="1"/>
  <c r="H96" i="1" s="1"/>
  <c r="G97" i="1"/>
  <c r="G99" i="1" s="1"/>
  <c r="H95" i="1"/>
  <c r="F133" i="1"/>
  <c r="J49" i="1"/>
  <c r="H39" i="1"/>
  <c r="H40" i="1" s="1"/>
  <c r="H23" i="1"/>
  <c r="H22" i="1"/>
  <c r="H35" i="1"/>
  <c r="H37" i="1"/>
  <c r="H38" i="1" s="1"/>
  <c r="H130" i="1" s="1"/>
  <c r="H24" i="1"/>
  <c r="H69" i="1" s="1"/>
  <c r="H126" i="1" s="1"/>
  <c r="H66" i="1"/>
  <c r="H25" i="1"/>
  <c r="H27" i="1"/>
  <c r="H41" i="1"/>
  <c r="H33" i="1"/>
  <c r="H72" i="1" s="1"/>
  <c r="H75" i="1"/>
  <c r="H26" i="1"/>
  <c r="H77" i="1" s="1"/>
  <c r="H112" i="1"/>
  <c r="H32" i="1"/>
  <c r="H71" i="1" s="1"/>
  <c r="H34" i="1"/>
  <c r="H73" i="1" s="1"/>
  <c r="H62" i="1"/>
  <c r="H80" i="1" s="1"/>
  <c r="H74" i="1"/>
  <c r="H83" i="1"/>
  <c r="H117" i="1"/>
  <c r="H106" i="1" s="1"/>
  <c r="H92" i="1"/>
  <c r="H120" i="1"/>
  <c r="I20" i="1"/>
  <c r="G28" i="1"/>
  <c r="G29" i="1"/>
  <c r="G78" i="1"/>
  <c r="G68" i="1"/>
  <c r="G125" i="1" s="1"/>
  <c r="G67" i="1"/>
  <c r="G124" i="1" s="1"/>
  <c r="G79" i="1"/>
  <c r="G76" i="1"/>
  <c r="G36" i="1"/>
  <c r="G129" i="1" s="1"/>
  <c r="T52" i="1"/>
  <c r="F103" i="1"/>
  <c r="Q59" i="1"/>
  <c r="K45" i="1"/>
  <c r="F99" i="1"/>
  <c r="G123" i="1"/>
  <c r="G82" i="1"/>
  <c r="G84" i="1"/>
  <c r="N19" i="1"/>
  <c r="M63" i="1"/>
  <c r="M81" i="1" s="1"/>
  <c r="M109" i="1"/>
  <c r="M116" i="1"/>
  <c r="M110" i="1"/>
  <c r="T48" i="1"/>
  <c r="S51" i="1"/>
  <c r="G69" i="1"/>
  <c r="G126" i="1" s="1"/>
  <c r="F104" i="1"/>
  <c r="S46" i="1"/>
  <c r="K54" i="1"/>
  <c r="D128" i="1"/>
  <c r="D88" i="1"/>
  <c r="N53" i="1"/>
  <c r="M47" i="1"/>
  <c r="G85" i="1"/>
  <c r="G131" i="1"/>
  <c r="G42" i="1"/>
  <c r="G132" i="1" s="1"/>
  <c r="G134" i="1"/>
  <c r="E88" i="1"/>
  <c r="E91" i="1" s="1"/>
  <c r="G70" i="1" l="1"/>
  <c r="F108" i="1"/>
  <c r="F87" i="1"/>
  <c r="R59" i="1"/>
  <c r="U52" i="1"/>
  <c r="H28" i="1"/>
  <c r="H29" i="1"/>
  <c r="H78" i="1"/>
  <c r="H42" i="1"/>
  <c r="H132" i="1" s="1"/>
  <c r="H131" i="1"/>
  <c r="G127" i="1"/>
  <c r="G86" i="1"/>
  <c r="N47" i="1"/>
  <c r="D89" i="1"/>
  <c r="D121" i="1" s="1"/>
  <c r="D90" i="1"/>
  <c r="D122" i="1" s="1"/>
  <c r="D91" i="1"/>
  <c r="T46" i="1"/>
  <c r="O19" i="1"/>
  <c r="N109" i="1"/>
  <c r="N116" i="1"/>
  <c r="N63" i="1"/>
  <c r="N81" i="1" s="1"/>
  <c r="N110" i="1"/>
  <c r="L45" i="1"/>
  <c r="G133" i="1"/>
  <c r="H76" i="1"/>
  <c r="H36" i="1"/>
  <c r="H129" i="1" s="1"/>
  <c r="H133" i="1" s="1"/>
  <c r="T51" i="1"/>
  <c r="F105" i="1"/>
  <c r="I37" i="1"/>
  <c r="I38" i="1" s="1"/>
  <c r="I130" i="1" s="1"/>
  <c r="I22" i="1"/>
  <c r="I25" i="1"/>
  <c r="I23" i="1"/>
  <c r="I27" i="1"/>
  <c r="I35" i="1"/>
  <c r="I39" i="1"/>
  <c r="I40" i="1" s="1"/>
  <c r="I24" i="1"/>
  <c r="I69" i="1" s="1"/>
  <c r="I126" i="1" s="1"/>
  <c r="I41" i="1"/>
  <c r="I66" i="1"/>
  <c r="I32" i="1"/>
  <c r="I71" i="1" s="1"/>
  <c r="I83" i="1"/>
  <c r="I117" i="1"/>
  <c r="I106" i="1" s="1"/>
  <c r="I26" i="1"/>
  <c r="I77" i="1" s="1"/>
  <c r="I34" i="1"/>
  <c r="I73" i="1" s="1"/>
  <c r="I75" i="1"/>
  <c r="I62" i="1"/>
  <c r="I80" i="1" s="1"/>
  <c r="I33" i="1"/>
  <c r="I72" i="1" s="1"/>
  <c r="I74" i="1"/>
  <c r="I112" i="1"/>
  <c r="I92" i="1"/>
  <c r="I120" i="1"/>
  <c r="J20" i="1"/>
  <c r="H104" i="1"/>
  <c r="H123" i="1"/>
  <c r="H82" i="1"/>
  <c r="H84" i="1"/>
  <c r="H68" i="1"/>
  <c r="H125" i="1" s="1"/>
  <c r="H67" i="1"/>
  <c r="H124" i="1" s="1"/>
  <c r="H79" i="1"/>
  <c r="H85" i="1" s="1"/>
  <c r="I95" i="1"/>
  <c r="H97" i="1"/>
  <c r="H99" i="1" s="1"/>
  <c r="H98" i="1"/>
  <c r="H100" i="1" s="1"/>
  <c r="I96" i="1" s="1"/>
  <c r="E89" i="1"/>
  <c r="E121" i="1" s="1"/>
  <c r="E90" i="1"/>
  <c r="E122" i="1" s="1"/>
  <c r="O53" i="1"/>
  <c r="L54" i="1"/>
  <c r="U48" i="1"/>
  <c r="G104" i="1"/>
  <c r="H134" i="1"/>
  <c r="K49" i="1"/>
  <c r="G108" i="1"/>
  <c r="G87" i="1"/>
  <c r="G128" i="1" s="1"/>
  <c r="E111" i="1"/>
  <c r="E107" i="1"/>
  <c r="H127" i="1" l="1"/>
  <c r="H86" i="1"/>
  <c r="P53" i="1"/>
  <c r="F111" i="1"/>
  <c r="F107" i="1"/>
  <c r="M45" i="1"/>
  <c r="O47" i="1"/>
  <c r="L49" i="1"/>
  <c r="V48" i="1"/>
  <c r="J35" i="1"/>
  <c r="J66" i="1"/>
  <c r="J24" i="1"/>
  <c r="J23" i="1"/>
  <c r="J37" i="1"/>
  <c r="J38" i="1" s="1"/>
  <c r="J130" i="1" s="1"/>
  <c r="J39" i="1"/>
  <c r="J40" i="1" s="1"/>
  <c r="J25" i="1"/>
  <c r="J41" i="1"/>
  <c r="J27" i="1"/>
  <c r="J22" i="1"/>
  <c r="J74" i="1"/>
  <c r="J26" i="1"/>
  <c r="J77" i="1" s="1"/>
  <c r="J83" i="1"/>
  <c r="J34" i="1"/>
  <c r="J73" i="1" s="1"/>
  <c r="J75" i="1"/>
  <c r="J32" i="1"/>
  <c r="J71" i="1" s="1"/>
  <c r="J62" i="1"/>
  <c r="J80" i="1" s="1"/>
  <c r="J33" i="1"/>
  <c r="J72" i="1" s="1"/>
  <c r="J117" i="1"/>
  <c r="J106" i="1" s="1"/>
  <c r="J112" i="1"/>
  <c r="J92" i="1"/>
  <c r="J120" i="1"/>
  <c r="K20" i="1"/>
  <c r="I131" i="1"/>
  <c r="I42" i="1"/>
  <c r="I132" i="1" s="1"/>
  <c r="U51" i="1"/>
  <c r="P19" i="1"/>
  <c r="O116" i="1"/>
  <c r="O109" i="1"/>
  <c r="O63" i="1"/>
  <c r="O81" i="1" s="1"/>
  <c r="O110" i="1"/>
  <c r="G103" i="1"/>
  <c r="G105" i="1" s="1"/>
  <c r="H108" i="1"/>
  <c r="H87" i="1"/>
  <c r="H128" i="1" s="1"/>
  <c r="I123" i="1"/>
  <c r="I84" i="1"/>
  <c r="I82" i="1"/>
  <c r="I76" i="1"/>
  <c r="I85" i="1" s="1"/>
  <c r="I36" i="1"/>
  <c r="I129" i="1" s="1"/>
  <c r="I133" i="1" s="1"/>
  <c r="I68" i="1"/>
  <c r="I125" i="1" s="1"/>
  <c r="I67" i="1"/>
  <c r="I124" i="1" s="1"/>
  <c r="I79" i="1"/>
  <c r="S59" i="1"/>
  <c r="M54" i="1"/>
  <c r="I97" i="1"/>
  <c r="J95" i="1"/>
  <c r="I98" i="1"/>
  <c r="I100" i="1" s="1"/>
  <c r="J96" i="1" s="1"/>
  <c r="H70" i="1"/>
  <c r="I28" i="1"/>
  <c r="I134" i="1" s="1"/>
  <c r="I29" i="1"/>
  <c r="I78" i="1"/>
  <c r="U46" i="1"/>
  <c r="G88" i="1"/>
  <c r="V52" i="1"/>
  <c r="F128" i="1"/>
  <c r="F88" i="1"/>
  <c r="I127" i="1" l="1"/>
  <c r="I86" i="1"/>
  <c r="F90" i="1"/>
  <c r="F122" i="1" s="1"/>
  <c r="F89" i="1"/>
  <c r="F121" i="1" s="1"/>
  <c r="F91" i="1"/>
  <c r="N54" i="1"/>
  <c r="W52" i="1"/>
  <c r="V46" i="1"/>
  <c r="H103" i="1"/>
  <c r="H105" i="1" s="1"/>
  <c r="Q19" i="1"/>
  <c r="P116" i="1"/>
  <c r="P63" i="1"/>
  <c r="P81" i="1" s="1"/>
  <c r="P109" i="1"/>
  <c r="P110" i="1"/>
  <c r="J68" i="1"/>
  <c r="J125" i="1" s="1"/>
  <c r="J67" i="1"/>
  <c r="J124" i="1" s="1"/>
  <c r="J79" i="1"/>
  <c r="J42" i="1"/>
  <c r="J132" i="1" s="1"/>
  <c r="J131" i="1"/>
  <c r="J123" i="1"/>
  <c r="J84" i="1"/>
  <c r="J82" i="1"/>
  <c r="J28" i="1"/>
  <c r="J29" i="1"/>
  <c r="J78" i="1"/>
  <c r="J36" i="1"/>
  <c r="J129" i="1" s="1"/>
  <c r="J133" i="1" s="1"/>
  <c r="J76" i="1"/>
  <c r="M49" i="1"/>
  <c r="H88" i="1"/>
  <c r="G89" i="1"/>
  <c r="G121" i="1" s="1"/>
  <c r="G90" i="1"/>
  <c r="G122" i="1" s="1"/>
  <c r="J97" i="1"/>
  <c r="J99" i="1" s="1"/>
  <c r="K95" i="1"/>
  <c r="J98" i="1"/>
  <c r="J100" i="1" s="1"/>
  <c r="K96" i="1" s="1"/>
  <c r="I70" i="1"/>
  <c r="I104" i="1"/>
  <c r="G91" i="1"/>
  <c r="J85" i="1"/>
  <c r="J134" i="1"/>
  <c r="W48" i="1"/>
  <c r="N45" i="1"/>
  <c r="I99" i="1"/>
  <c r="T59" i="1"/>
  <c r="G111" i="1"/>
  <c r="G107" i="1"/>
  <c r="V51" i="1"/>
  <c r="K23" i="1"/>
  <c r="K41" i="1"/>
  <c r="K35" i="1"/>
  <c r="K37" i="1"/>
  <c r="K38" i="1" s="1"/>
  <c r="K130" i="1" s="1"/>
  <c r="K39" i="1"/>
  <c r="K40" i="1" s="1"/>
  <c r="K66" i="1"/>
  <c r="K25" i="1"/>
  <c r="K27" i="1"/>
  <c r="K24" i="1"/>
  <c r="K69" i="1" s="1"/>
  <c r="K126" i="1" s="1"/>
  <c r="K22" i="1"/>
  <c r="K62" i="1"/>
  <c r="K80" i="1" s="1"/>
  <c r="K34" i="1"/>
  <c r="K73" i="1" s="1"/>
  <c r="K74" i="1"/>
  <c r="K26" i="1"/>
  <c r="K77" i="1" s="1"/>
  <c r="K83" i="1"/>
  <c r="K75" i="1"/>
  <c r="K32" i="1"/>
  <c r="K71" i="1" s="1"/>
  <c r="K33" i="1"/>
  <c r="K72" i="1" s="1"/>
  <c r="K117" i="1"/>
  <c r="K106" i="1" s="1"/>
  <c r="K112" i="1"/>
  <c r="K92" i="1"/>
  <c r="K120" i="1"/>
  <c r="L20" i="1"/>
  <c r="J69" i="1"/>
  <c r="J126" i="1" s="1"/>
  <c r="P47" i="1"/>
  <c r="Q53" i="1"/>
  <c r="R53" i="1" l="1"/>
  <c r="L39" i="1"/>
  <c r="L40" i="1" s="1"/>
  <c r="L35" i="1"/>
  <c r="L41" i="1"/>
  <c r="L66" i="1"/>
  <c r="L25" i="1"/>
  <c r="L37" i="1"/>
  <c r="L38" i="1" s="1"/>
  <c r="L130" i="1" s="1"/>
  <c r="L24" i="1"/>
  <c r="L27" i="1"/>
  <c r="L23" i="1"/>
  <c r="L22" i="1"/>
  <c r="L33" i="1"/>
  <c r="L72" i="1" s="1"/>
  <c r="L75" i="1"/>
  <c r="L26" i="1"/>
  <c r="L77" i="1" s="1"/>
  <c r="L112" i="1"/>
  <c r="L62" i="1"/>
  <c r="L80" i="1" s="1"/>
  <c r="L74" i="1"/>
  <c r="L83" i="1"/>
  <c r="L32" i="1"/>
  <c r="L71" i="1" s="1"/>
  <c r="L34" i="1"/>
  <c r="L73" i="1" s="1"/>
  <c r="L117" i="1"/>
  <c r="L106" i="1" s="1"/>
  <c r="L92" i="1"/>
  <c r="L120" i="1"/>
  <c r="M20" i="1"/>
  <c r="K76" i="1"/>
  <c r="K36" i="1"/>
  <c r="K129" i="1" s="1"/>
  <c r="U59" i="1"/>
  <c r="X48" i="1"/>
  <c r="K98" i="1"/>
  <c r="K100" i="1" s="1"/>
  <c r="L96" i="1" s="1"/>
  <c r="L95" i="1"/>
  <c r="K97" i="1"/>
  <c r="O54" i="1"/>
  <c r="Q47" i="1"/>
  <c r="K68" i="1"/>
  <c r="K125" i="1" s="1"/>
  <c r="K67" i="1"/>
  <c r="K124" i="1" s="1"/>
  <c r="K79" i="1"/>
  <c r="K123" i="1"/>
  <c r="K104" i="1"/>
  <c r="K70" i="1"/>
  <c r="K84" i="1"/>
  <c r="K82" i="1"/>
  <c r="I108" i="1"/>
  <c r="I87" i="1"/>
  <c r="J108" i="1"/>
  <c r="J87" i="1"/>
  <c r="J128" i="1" s="1"/>
  <c r="H90" i="1"/>
  <c r="H122" i="1" s="1"/>
  <c r="H89" i="1"/>
  <c r="H121" i="1" s="1"/>
  <c r="J104" i="1"/>
  <c r="H91" i="1"/>
  <c r="X52" i="1"/>
  <c r="K131" i="1"/>
  <c r="K42" i="1"/>
  <c r="K132" i="1" s="1"/>
  <c r="K134" i="1"/>
  <c r="I103" i="1"/>
  <c r="I105" i="1" s="1"/>
  <c r="N49" i="1"/>
  <c r="J70" i="1"/>
  <c r="H111" i="1"/>
  <c r="H107" i="1"/>
  <c r="K28" i="1"/>
  <c r="K29" i="1"/>
  <c r="K78" i="1"/>
  <c r="K85" i="1" s="1"/>
  <c r="W51" i="1"/>
  <c r="O45" i="1"/>
  <c r="J127" i="1"/>
  <c r="J86" i="1"/>
  <c r="J88" i="1"/>
  <c r="R19" i="1"/>
  <c r="Q116" i="1"/>
  <c r="Q63" i="1"/>
  <c r="Q81" i="1" s="1"/>
  <c r="Q109" i="1"/>
  <c r="Q110" i="1"/>
  <c r="W46" i="1"/>
  <c r="K127" i="1" l="1"/>
  <c r="K86" i="1"/>
  <c r="Y52" i="1"/>
  <c r="Y48" i="1"/>
  <c r="K133" i="1"/>
  <c r="L42" i="1"/>
  <c r="L132" i="1" s="1"/>
  <c r="L131" i="1"/>
  <c r="S19" i="1"/>
  <c r="R116" i="1"/>
  <c r="R109" i="1"/>
  <c r="R63" i="1"/>
  <c r="R81" i="1" s="1"/>
  <c r="R110" i="1"/>
  <c r="J90" i="1"/>
  <c r="J122" i="1" s="1"/>
  <c r="J89" i="1"/>
  <c r="J121" i="1" s="1"/>
  <c r="P45" i="1"/>
  <c r="K99" i="1"/>
  <c r="L28" i="1"/>
  <c r="L134" i="1" s="1"/>
  <c r="L29" i="1"/>
  <c r="L78" i="1"/>
  <c r="L123" i="1"/>
  <c r="L82" i="1"/>
  <c r="L84" i="1"/>
  <c r="S53" i="1"/>
  <c r="O49" i="1"/>
  <c r="X46" i="1"/>
  <c r="J103" i="1"/>
  <c r="J105" i="1" s="1"/>
  <c r="J91" i="1"/>
  <c r="I111" i="1"/>
  <c r="I107" i="1"/>
  <c r="R47" i="1"/>
  <c r="M95" i="1"/>
  <c r="L98" i="1"/>
  <c r="L100" i="1" s="1"/>
  <c r="M96" i="1" s="1"/>
  <c r="L97" i="1"/>
  <c r="M37" i="1"/>
  <c r="M38" i="1" s="1"/>
  <c r="M130" i="1" s="1"/>
  <c r="M22" i="1"/>
  <c r="M25" i="1"/>
  <c r="M35" i="1"/>
  <c r="M27" i="1"/>
  <c r="M41" i="1"/>
  <c r="M66" i="1"/>
  <c r="M39" i="1"/>
  <c r="M40" i="1" s="1"/>
  <c r="M24" i="1"/>
  <c r="M69" i="1" s="1"/>
  <c r="M126" i="1" s="1"/>
  <c r="M23" i="1"/>
  <c r="M32" i="1"/>
  <c r="M71" i="1" s="1"/>
  <c r="M83" i="1"/>
  <c r="M117" i="1"/>
  <c r="M106" i="1" s="1"/>
  <c r="M62" i="1"/>
  <c r="M80" i="1" s="1"/>
  <c r="M33" i="1"/>
  <c r="M72" i="1" s="1"/>
  <c r="M74" i="1"/>
  <c r="M112" i="1"/>
  <c r="M26" i="1"/>
  <c r="M77" i="1" s="1"/>
  <c r="M34" i="1"/>
  <c r="M73" i="1" s="1"/>
  <c r="M75" i="1"/>
  <c r="M120" i="1"/>
  <c r="M92" i="1"/>
  <c r="N20" i="1"/>
  <c r="L69" i="1"/>
  <c r="L126" i="1" s="1"/>
  <c r="X51" i="1"/>
  <c r="I128" i="1"/>
  <c r="I88" i="1"/>
  <c r="K103" i="1"/>
  <c r="K105" i="1" s="1"/>
  <c r="P54" i="1"/>
  <c r="V59" i="1"/>
  <c r="L68" i="1"/>
  <c r="L125" i="1" s="1"/>
  <c r="L67" i="1"/>
  <c r="L124" i="1" s="1"/>
  <c r="L79" i="1"/>
  <c r="L76" i="1"/>
  <c r="L85" i="1" s="1"/>
  <c r="L36" i="1"/>
  <c r="L129" i="1" s="1"/>
  <c r="L133" i="1" s="1"/>
  <c r="L127" i="1" l="1"/>
  <c r="L86" i="1"/>
  <c r="W59" i="1"/>
  <c r="N35" i="1"/>
  <c r="N66" i="1"/>
  <c r="N24" i="1"/>
  <c r="N37" i="1"/>
  <c r="N38" i="1" s="1"/>
  <c r="N130" i="1" s="1"/>
  <c r="N41" i="1"/>
  <c r="N22" i="1"/>
  <c r="N39" i="1"/>
  <c r="N40" i="1" s="1"/>
  <c r="N25" i="1"/>
  <c r="N23" i="1"/>
  <c r="N27" i="1"/>
  <c r="N34" i="1"/>
  <c r="N73" i="1" s="1"/>
  <c r="N83" i="1"/>
  <c r="N117" i="1"/>
  <c r="N106" i="1" s="1"/>
  <c r="N33" i="1"/>
  <c r="N72" i="1" s="1"/>
  <c r="N112" i="1"/>
  <c r="N74" i="1"/>
  <c r="N26" i="1"/>
  <c r="N77" i="1" s="1"/>
  <c r="N32" i="1"/>
  <c r="N71" i="1" s="1"/>
  <c r="N75" i="1"/>
  <c r="N62" i="1"/>
  <c r="N80" i="1" s="1"/>
  <c r="N92" i="1"/>
  <c r="N120" i="1"/>
  <c r="O20" i="1"/>
  <c r="Y51" i="1"/>
  <c r="M68" i="1"/>
  <c r="M125" i="1" s="1"/>
  <c r="M67" i="1"/>
  <c r="M124" i="1" s="1"/>
  <c r="M79" i="1"/>
  <c r="M98" i="1"/>
  <c r="M100" i="1" s="1"/>
  <c r="N96" i="1" s="1"/>
  <c r="M97" i="1"/>
  <c r="M99" i="1" s="1"/>
  <c r="N95" i="1"/>
  <c r="L104" i="1"/>
  <c r="Z48" i="1"/>
  <c r="K111" i="1"/>
  <c r="K107" i="1"/>
  <c r="M29" i="1"/>
  <c r="M28" i="1"/>
  <c r="M134" i="1" s="1"/>
  <c r="M78" i="1"/>
  <c r="K108" i="1"/>
  <c r="K87" i="1"/>
  <c r="Q54" i="1"/>
  <c r="I89" i="1"/>
  <c r="I121" i="1" s="1"/>
  <c r="I90" i="1"/>
  <c r="I122" i="1" s="1"/>
  <c r="I91" i="1"/>
  <c r="M131" i="1"/>
  <c r="M42" i="1"/>
  <c r="M132" i="1" s="1"/>
  <c r="M76" i="1"/>
  <c r="M36" i="1"/>
  <c r="M129" i="1" s="1"/>
  <c r="L99" i="1"/>
  <c r="S47" i="1"/>
  <c r="J111" i="1"/>
  <c r="J107" i="1"/>
  <c r="P49" i="1"/>
  <c r="L70" i="1"/>
  <c r="M85" i="1"/>
  <c r="M104" i="1"/>
  <c r="M123" i="1"/>
  <c r="M82" i="1"/>
  <c r="M70" i="1"/>
  <c r="M84" i="1"/>
  <c r="Y46" i="1"/>
  <c r="T53" i="1"/>
  <c r="Q45" i="1"/>
  <c r="T19" i="1"/>
  <c r="S63" i="1"/>
  <c r="S81" i="1" s="1"/>
  <c r="S116" i="1"/>
  <c r="S109" i="1"/>
  <c r="S110" i="1"/>
  <c r="Z52" i="1"/>
  <c r="Q49" i="1" l="1"/>
  <c r="K128" i="1"/>
  <c r="K88" i="1"/>
  <c r="N28" i="1"/>
  <c r="N29" i="1"/>
  <c r="N78" i="1"/>
  <c r="N68" i="1"/>
  <c r="N125" i="1" s="1"/>
  <c r="N67" i="1"/>
  <c r="N124" i="1" s="1"/>
  <c r="N79" i="1"/>
  <c r="N123" i="1"/>
  <c r="N82" i="1"/>
  <c r="N84" i="1"/>
  <c r="U53" i="1"/>
  <c r="M103" i="1"/>
  <c r="M105" i="1" s="1"/>
  <c r="M127" i="1"/>
  <c r="M86" i="1"/>
  <c r="T47" i="1"/>
  <c r="N134" i="1"/>
  <c r="N36" i="1"/>
  <c r="N129" i="1" s="1"/>
  <c r="N76" i="1"/>
  <c r="N85" i="1" s="1"/>
  <c r="U19" i="1"/>
  <c r="T116" i="1"/>
  <c r="T63" i="1"/>
  <c r="T81" i="1" s="1"/>
  <c r="T109" i="1"/>
  <c r="T110" i="1"/>
  <c r="R45" i="1"/>
  <c r="L108" i="1"/>
  <c r="L87" i="1"/>
  <c r="R54" i="1"/>
  <c r="N97" i="1"/>
  <c r="N99" i="1" s="1"/>
  <c r="O95" i="1"/>
  <c r="N98" i="1"/>
  <c r="N100" i="1" s="1"/>
  <c r="O96" i="1" s="1"/>
  <c r="Z51" i="1"/>
  <c r="Z46" i="1"/>
  <c r="L103" i="1"/>
  <c r="L105" i="1" s="1"/>
  <c r="M133" i="1"/>
  <c r="M108" i="1"/>
  <c r="M87" i="1"/>
  <c r="M128" i="1" s="1"/>
  <c r="O23" i="1"/>
  <c r="O41" i="1"/>
  <c r="O37" i="1"/>
  <c r="O38" i="1" s="1"/>
  <c r="O130" i="1" s="1"/>
  <c r="O66" i="1"/>
  <c r="O25" i="1"/>
  <c r="O27" i="1"/>
  <c r="O39" i="1"/>
  <c r="O40" i="1" s="1"/>
  <c r="O22" i="1"/>
  <c r="O24" i="1"/>
  <c r="O69" i="1" s="1"/>
  <c r="O126" i="1" s="1"/>
  <c r="O35" i="1"/>
  <c r="O33" i="1"/>
  <c r="O72" i="1" s="1"/>
  <c r="O62" i="1"/>
  <c r="O80" i="1" s="1"/>
  <c r="O74" i="1"/>
  <c r="O26" i="1"/>
  <c r="O77" i="1" s="1"/>
  <c r="O83" i="1"/>
  <c r="O75" i="1"/>
  <c r="O32" i="1"/>
  <c r="O71" i="1" s="1"/>
  <c r="O34" i="1"/>
  <c r="O73" i="1" s="1"/>
  <c r="O117" i="1"/>
  <c r="O106" i="1" s="1"/>
  <c r="O112" i="1"/>
  <c r="O92" i="1"/>
  <c r="O120" i="1"/>
  <c r="P20" i="1"/>
  <c r="N42" i="1"/>
  <c r="N132" i="1" s="1"/>
  <c r="N131" i="1"/>
  <c r="N69" i="1"/>
  <c r="N126" i="1" s="1"/>
  <c r="X59" i="1"/>
  <c r="N127" i="1" l="1"/>
  <c r="N86" i="1"/>
  <c r="P39" i="1"/>
  <c r="P40" i="1" s="1"/>
  <c r="P35" i="1"/>
  <c r="P22" i="1"/>
  <c r="P41" i="1"/>
  <c r="P24" i="1"/>
  <c r="P23" i="1"/>
  <c r="P25" i="1"/>
  <c r="P37" i="1"/>
  <c r="P38" i="1" s="1"/>
  <c r="P130" i="1" s="1"/>
  <c r="P27" i="1"/>
  <c r="P66" i="1"/>
  <c r="P112" i="1"/>
  <c r="P32" i="1"/>
  <c r="P71" i="1" s="1"/>
  <c r="P83" i="1"/>
  <c r="P62" i="1"/>
  <c r="P80" i="1" s="1"/>
  <c r="P33" i="1"/>
  <c r="P72" i="1" s="1"/>
  <c r="P74" i="1"/>
  <c r="P26" i="1"/>
  <c r="P77" i="1" s="1"/>
  <c r="P34" i="1"/>
  <c r="P73" i="1" s="1"/>
  <c r="P75" i="1"/>
  <c r="P117" i="1"/>
  <c r="P106" i="1" s="1"/>
  <c r="P92" i="1"/>
  <c r="P120" i="1"/>
  <c r="Q20" i="1"/>
  <c r="O131" i="1"/>
  <c r="O42" i="1"/>
  <c r="O132" i="1" s="1"/>
  <c r="L111" i="1"/>
  <c r="L107" i="1"/>
  <c r="S54" i="1"/>
  <c r="S45" i="1"/>
  <c r="V53" i="1"/>
  <c r="O36" i="1"/>
  <c r="O129" i="1" s="1"/>
  <c r="O133" i="1" s="1"/>
  <c r="O76" i="1"/>
  <c r="O28" i="1"/>
  <c r="O29" i="1"/>
  <c r="O78" i="1"/>
  <c r="N133" i="1"/>
  <c r="U47" i="1"/>
  <c r="N104" i="1"/>
  <c r="K89" i="1"/>
  <c r="K121" i="1" s="1"/>
  <c r="K90" i="1"/>
  <c r="K122" i="1" s="1"/>
  <c r="K91" i="1"/>
  <c r="R49" i="1"/>
  <c r="O134" i="1"/>
  <c r="O97" i="1"/>
  <c r="O98" i="1"/>
  <c r="O100" i="1" s="1"/>
  <c r="P96" i="1" s="1"/>
  <c r="P95" i="1"/>
  <c r="L128" i="1"/>
  <c r="L88" i="1"/>
  <c r="M111" i="1"/>
  <c r="M107" i="1"/>
  <c r="Y59" i="1"/>
  <c r="O68" i="1"/>
  <c r="O125" i="1" s="1"/>
  <c r="O67" i="1"/>
  <c r="O124" i="1" s="1"/>
  <c r="O79" i="1"/>
  <c r="O85" i="1" s="1"/>
  <c r="O104" i="1"/>
  <c r="O123" i="1"/>
  <c r="O82" i="1"/>
  <c r="O84" i="1"/>
  <c r="N108" i="1"/>
  <c r="N87" i="1"/>
  <c r="N128" i="1" s="1"/>
  <c r="V19" i="1"/>
  <c r="U63" i="1"/>
  <c r="U81" i="1" s="1"/>
  <c r="U116" i="1"/>
  <c r="U109" i="1"/>
  <c r="U110" i="1"/>
  <c r="M88" i="1"/>
  <c r="N70" i="1"/>
  <c r="O127" i="1" l="1"/>
  <c r="O86" i="1"/>
  <c r="L90" i="1"/>
  <c r="L122" i="1" s="1"/>
  <c r="L89" i="1"/>
  <c r="L121" i="1" s="1"/>
  <c r="L91" i="1"/>
  <c r="O99" i="1"/>
  <c r="N88" i="1"/>
  <c r="W19" i="1"/>
  <c r="V116" i="1"/>
  <c r="V63" i="1"/>
  <c r="V81" i="1" s="1"/>
  <c r="V109" i="1"/>
  <c r="V110" i="1"/>
  <c r="O70" i="1"/>
  <c r="Z59" i="1"/>
  <c r="T45" i="1"/>
  <c r="Q66" i="1"/>
  <c r="Q25" i="1"/>
  <c r="Q27" i="1"/>
  <c r="Q23" i="1"/>
  <c r="Q22" i="1"/>
  <c r="Q41" i="1"/>
  <c r="Q24" i="1"/>
  <c r="Q37" i="1"/>
  <c r="Q38" i="1" s="1"/>
  <c r="Q130" i="1" s="1"/>
  <c r="Q39" i="1"/>
  <c r="Q40" i="1" s="1"/>
  <c r="Q35" i="1"/>
  <c r="Q34" i="1"/>
  <c r="Q73" i="1" s="1"/>
  <c r="Q112" i="1"/>
  <c r="Q32" i="1"/>
  <c r="Q71" i="1" s="1"/>
  <c r="Q75" i="1"/>
  <c r="Q33" i="1"/>
  <c r="Q72" i="1" s="1"/>
  <c r="Q74" i="1"/>
  <c r="Q62" i="1"/>
  <c r="Q80" i="1" s="1"/>
  <c r="Q26" i="1"/>
  <c r="Q77" i="1" s="1"/>
  <c r="Q83" i="1"/>
  <c r="Q117" i="1"/>
  <c r="Q106" i="1" s="1"/>
  <c r="Q92" i="1"/>
  <c r="Q120" i="1"/>
  <c r="R20" i="1"/>
  <c r="P68" i="1"/>
  <c r="P125" i="1" s="1"/>
  <c r="P67" i="1"/>
  <c r="P124" i="1" s="1"/>
  <c r="P79" i="1"/>
  <c r="N103" i="1"/>
  <c r="N105" i="1" s="1"/>
  <c r="N91" i="1"/>
  <c r="P97" i="1"/>
  <c r="P99" i="1" s="1"/>
  <c r="P98" i="1"/>
  <c r="P100" i="1" s="1"/>
  <c r="Q96" i="1" s="1"/>
  <c r="Q95" i="1"/>
  <c r="V47" i="1"/>
  <c r="W53" i="1"/>
  <c r="T54" i="1"/>
  <c r="P123" i="1"/>
  <c r="P82" i="1"/>
  <c r="P84" i="1"/>
  <c r="P36" i="1"/>
  <c r="P129" i="1" s="1"/>
  <c r="P76" i="1"/>
  <c r="P85" i="1" s="1"/>
  <c r="M89" i="1"/>
  <c r="M121" i="1" s="1"/>
  <c r="M90" i="1"/>
  <c r="M122" i="1" s="1"/>
  <c r="M91" i="1"/>
  <c r="S49" i="1"/>
  <c r="P28" i="1"/>
  <c r="P134" i="1" s="1"/>
  <c r="P29" i="1"/>
  <c r="P78" i="1"/>
  <c r="P69" i="1"/>
  <c r="P126" i="1" s="1"/>
  <c r="P42" i="1"/>
  <c r="P132" i="1" s="1"/>
  <c r="P131" i="1"/>
  <c r="P127" i="1" l="1"/>
  <c r="P86" i="1"/>
  <c r="Q97" i="1"/>
  <c r="Q98" i="1"/>
  <c r="Q100" i="1" s="1"/>
  <c r="R96" i="1" s="1"/>
  <c r="R95" i="1"/>
  <c r="N111" i="1"/>
  <c r="N107" i="1"/>
  <c r="R24" i="1"/>
  <c r="R27" i="1"/>
  <c r="R22" i="1"/>
  <c r="R23" i="1"/>
  <c r="R66" i="1"/>
  <c r="R35" i="1"/>
  <c r="R41" i="1"/>
  <c r="R25" i="1"/>
  <c r="R37" i="1"/>
  <c r="R38" i="1" s="1"/>
  <c r="R130" i="1" s="1"/>
  <c r="R39" i="1"/>
  <c r="R40" i="1" s="1"/>
  <c r="R32" i="1"/>
  <c r="R71" i="1" s="1"/>
  <c r="R112" i="1"/>
  <c r="R62" i="1"/>
  <c r="R80" i="1" s="1"/>
  <c r="R33" i="1"/>
  <c r="R72" i="1" s="1"/>
  <c r="R74" i="1"/>
  <c r="R26" i="1"/>
  <c r="R77" i="1" s="1"/>
  <c r="R83" i="1"/>
  <c r="R117" i="1"/>
  <c r="R106" i="1" s="1"/>
  <c r="R34" i="1"/>
  <c r="R73" i="1" s="1"/>
  <c r="R75" i="1"/>
  <c r="R92" i="1"/>
  <c r="R120" i="1"/>
  <c r="S20" i="1"/>
  <c r="Q69" i="1"/>
  <c r="Q126" i="1" s="1"/>
  <c r="Q28" i="1"/>
  <c r="Q29" i="1"/>
  <c r="Q78" i="1"/>
  <c r="O108" i="1"/>
  <c r="O87" i="1"/>
  <c r="T49" i="1"/>
  <c r="P70" i="1"/>
  <c r="P104" i="1"/>
  <c r="X53" i="1"/>
  <c r="Q36" i="1"/>
  <c r="Q129" i="1" s="1"/>
  <c r="Q76" i="1"/>
  <c r="Q85" i="1" s="1"/>
  <c r="X19" i="1"/>
  <c r="W63" i="1"/>
  <c r="W81" i="1" s="1"/>
  <c r="W116" i="1"/>
  <c r="W109" i="1"/>
  <c r="W110" i="1"/>
  <c r="P87" i="1"/>
  <c r="P128" i="1" s="1"/>
  <c r="P108" i="1"/>
  <c r="Q131" i="1"/>
  <c r="Q42" i="1"/>
  <c r="Q132" i="1" s="1"/>
  <c r="Q68" i="1"/>
  <c r="Q125" i="1" s="1"/>
  <c r="Q67" i="1"/>
  <c r="Q124" i="1" s="1"/>
  <c r="Q79" i="1"/>
  <c r="Q123" i="1"/>
  <c r="Q104" i="1"/>
  <c r="Q84" i="1"/>
  <c r="Q70" i="1"/>
  <c r="Q82" i="1"/>
  <c r="N90" i="1"/>
  <c r="N122" i="1" s="1"/>
  <c r="N89" i="1"/>
  <c r="N121" i="1" s="1"/>
  <c r="P133" i="1"/>
  <c r="U54" i="1"/>
  <c r="W47" i="1"/>
  <c r="Q134" i="1"/>
  <c r="U45" i="1"/>
  <c r="O103" i="1"/>
  <c r="O105" i="1" s="1"/>
  <c r="Q127" i="1" l="1"/>
  <c r="Q86" i="1"/>
  <c r="V45" i="1"/>
  <c r="X47" i="1"/>
  <c r="Y19" i="1"/>
  <c r="X116" i="1"/>
  <c r="X63" i="1"/>
  <c r="X81" i="1" s="1"/>
  <c r="X109" i="1"/>
  <c r="X110" i="1"/>
  <c r="U49" i="1"/>
  <c r="S27" i="1"/>
  <c r="S66" i="1"/>
  <c r="S25" i="1"/>
  <c r="S23" i="1"/>
  <c r="S39" i="1"/>
  <c r="S40" i="1" s="1"/>
  <c r="S22" i="1"/>
  <c r="S35" i="1"/>
  <c r="S24" i="1"/>
  <c r="S69" i="1" s="1"/>
  <c r="S126" i="1" s="1"/>
  <c r="S41" i="1"/>
  <c r="S37" i="1"/>
  <c r="S38" i="1" s="1"/>
  <c r="S130" i="1" s="1"/>
  <c r="S33" i="1"/>
  <c r="S72" i="1" s="1"/>
  <c r="S75" i="1"/>
  <c r="S26" i="1"/>
  <c r="S77" i="1" s="1"/>
  <c r="S112" i="1"/>
  <c r="S32" i="1"/>
  <c r="S71" i="1" s="1"/>
  <c r="S83" i="1"/>
  <c r="S62" i="1"/>
  <c r="S80" i="1" s="1"/>
  <c r="S74" i="1"/>
  <c r="S34" i="1"/>
  <c r="S73" i="1" s="1"/>
  <c r="S117" i="1"/>
  <c r="S106" i="1" s="1"/>
  <c r="S92" i="1"/>
  <c r="S120" i="1"/>
  <c r="T20" i="1"/>
  <c r="R68" i="1"/>
  <c r="R125" i="1" s="1"/>
  <c r="R67" i="1"/>
  <c r="R124" i="1" s="1"/>
  <c r="R79" i="1"/>
  <c r="V54" i="1"/>
  <c r="Y53" i="1"/>
  <c r="R42" i="1"/>
  <c r="R132" i="1" s="1"/>
  <c r="R131" i="1"/>
  <c r="R36" i="1"/>
  <c r="R129" i="1" s="1"/>
  <c r="R133" i="1" s="1"/>
  <c r="R76" i="1"/>
  <c r="R85" i="1" s="1"/>
  <c r="R28" i="1"/>
  <c r="R29" i="1"/>
  <c r="R78" i="1"/>
  <c r="R97" i="1"/>
  <c r="R98" i="1"/>
  <c r="R100" i="1" s="1"/>
  <c r="S96" i="1" s="1"/>
  <c r="S95" i="1"/>
  <c r="P88" i="1"/>
  <c r="O128" i="1"/>
  <c r="O88" i="1"/>
  <c r="R123" i="1"/>
  <c r="R84" i="1"/>
  <c r="R82" i="1"/>
  <c r="R69" i="1"/>
  <c r="R126" i="1" s="1"/>
  <c r="O111" i="1"/>
  <c r="O107" i="1"/>
  <c r="Q103" i="1"/>
  <c r="Q105" i="1" s="1"/>
  <c r="Q133" i="1"/>
  <c r="P103" i="1"/>
  <c r="P105" i="1" s="1"/>
  <c r="P91" i="1"/>
  <c r="R134" i="1"/>
  <c r="Q99" i="1"/>
  <c r="R127" i="1" l="1"/>
  <c r="R86" i="1"/>
  <c r="P111" i="1"/>
  <c r="P107" i="1"/>
  <c r="R70" i="1"/>
  <c r="O89" i="1"/>
  <c r="O121" i="1" s="1"/>
  <c r="O90" i="1"/>
  <c r="O122" i="1" s="1"/>
  <c r="O91" i="1"/>
  <c r="W54" i="1"/>
  <c r="V49" i="1"/>
  <c r="Y47" i="1"/>
  <c r="Q108" i="1"/>
  <c r="Q87" i="1"/>
  <c r="R99" i="1"/>
  <c r="T22" i="1"/>
  <c r="T27" i="1"/>
  <c r="T24" i="1"/>
  <c r="T23" i="1"/>
  <c r="T37" i="1"/>
  <c r="T38" i="1" s="1"/>
  <c r="T130" i="1" s="1"/>
  <c r="T66" i="1"/>
  <c r="T39" i="1"/>
  <c r="T40" i="1" s="1"/>
  <c r="T35" i="1"/>
  <c r="T25" i="1"/>
  <c r="T41" i="1"/>
  <c r="T112" i="1"/>
  <c r="T62" i="1"/>
  <c r="T80" i="1" s="1"/>
  <c r="T74" i="1"/>
  <c r="T34" i="1"/>
  <c r="T73" i="1" s="1"/>
  <c r="T33" i="1"/>
  <c r="T72" i="1" s="1"/>
  <c r="T75" i="1"/>
  <c r="T26" i="1"/>
  <c r="T77" i="1" s="1"/>
  <c r="T117" i="1"/>
  <c r="T106" i="1" s="1"/>
  <c r="T32" i="1"/>
  <c r="T71" i="1" s="1"/>
  <c r="T83" i="1"/>
  <c r="T92" i="1"/>
  <c r="T120" i="1"/>
  <c r="U20" i="1"/>
  <c r="S36" i="1"/>
  <c r="S129" i="1" s="1"/>
  <c r="S76" i="1"/>
  <c r="P90" i="1"/>
  <c r="P122" i="1" s="1"/>
  <c r="P89" i="1"/>
  <c r="P121" i="1" s="1"/>
  <c r="Z53" i="1"/>
  <c r="S68" i="1"/>
  <c r="S125" i="1" s="1"/>
  <c r="S67" i="1"/>
  <c r="S124" i="1" s="1"/>
  <c r="S79" i="1"/>
  <c r="S123" i="1"/>
  <c r="S82" i="1"/>
  <c r="S84" i="1"/>
  <c r="Z19" i="1"/>
  <c r="Y63" i="1"/>
  <c r="Y81" i="1" s="1"/>
  <c r="Y116" i="1"/>
  <c r="Y109" i="1"/>
  <c r="Y110" i="1"/>
  <c r="W45" i="1"/>
  <c r="Q111" i="1"/>
  <c r="Q107" i="1"/>
  <c r="R104" i="1"/>
  <c r="S97" i="1"/>
  <c r="S98" i="1"/>
  <c r="S100" i="1" s="1"/>
  <c r="T96" i="1" s="1"/>
  <c r="T95" i="1"/>
  <c r="S131" i="1"/>
  <c r="S42" i="1"/>
  <c r="S132" i="1" s="1"/>
  <c r="S28" i="1"/>
  <c r="S134" i="1" s="1"/>
  <c r="S29" i="1"/>
  <c r="S78" i="1"/>
  <c r="S85" i="1" s="1"/>
  <c r="S127" i="1" l="1"/>
  <c r="S86" i="1"/>
  <c r="T97" i="1"/>
  <c r="T99" i="1" s="1"/>
  <c r="T98" i="1"/>
  <c r="T100" i="1" s="1"/>
  <c r="U96" i="1" s="1"/>
  <c r="U95" i="1"/>
  <c r="Z63" i="1"/>
  <c r="Z81" i="1" s="1"/>
  <c r="Z116" i="1"/>
  <c r="Z109" i="1"/>
  <c r="Z110" i="1"/>
  <c r="T36" i="1"/>
  <c r="T129" i="1" s="1"/>
  <c r="T76" i="1"/>
  <c r="R108" i="1"/>
  <c r="R87" i="1"/>
  <c r="X54" i="1"/>
  <c r="U66" i="1"/>
  <c r="U25" i="1"/>
  <c r="U27" i="1"/>
  <c r="U41" i="1"/>
  <c r="U37" i="1"/>
  <c r="U38" i="1" s="1"/>
  <c r="U130" i="1" s="1"/>
  <c r="U22" i="1"/>
  <c r="U23" i="1"/>
  <c r="U39" i="1"/>
  <c r="U40" i="1" s="1"/>
  <c r="U24" i="1"/>
  <c r="U35" i="1"/>
  <c r="U33" i="1"/>
  <c r="U72" i="1" s="1"/>
  <c r="U75" i="1"/>
  <c r="U26" i="1"/>
  <c r="U77" i="1" s="1"/>
  <c r="U32" i="1"/>
  <c r="U71" i="1" s="1"/>
  <c r="U83" i="1"/>
  <c r="U112" i="1"/>
  <c r="U62" i="1"/>
  <c r="U80" i="1" s="1"/>
  <c r="U74" i="1"/>
  <c r="U117" i="1"/>
  <c r="U106" i="1" s="1"/>
  <c r="U34" i="1"/>
  <c r="U73" i="1" s="1"/>
  <c r="U92" i="1"/>
  <c r="U120" i="1"/>
  <c r="V20" i="1"/>
  <c r="T42" i="1"/>
  <c r="T132" i="1" s="1"/>
  <c r="T131" i="1"/>
  <c r="T69" i="1"/>
  <c r="T126" i="1" s="1"/>
  <c r="Q128" i="1"/>
  <c r="Q88" i="1"/>
  <c r="W49" i="1"/>
  <c r="R103" i="1"/>
  <c r="R105" i="1" s="1"/>
  <c r="S99" i="1"/>
  <c r="X45" i="1"/>
  <c r="S70" i="1"/>
  <c r="S104" i="1"/>
  <c r="T123" i="1"/>
  <c r="T84" i="1"/>
  <c r="T82" i="1"/>
  <c r="T29" i="1"/>
  <c r="T28" i="1"/>
  <c r="T134" i="1" s="1"/>
  <c r="T78" i="1"/>
  <c r="T85" i="1" s="1"/>
  <c r="S133" i="1"/>
  <c r="T68" i="1"/>
  <c r="T125" i="1" s="1"/>
  <c r="T67" i="1"/>
  <c r="T124" i="1" s="1"/>
  <c r="T79" i="1"/>
  <c r="Z47" i="1"/>
  <c r="T127" i="1" l="1"/>
  <c r="T86" i="1"/>
  <c r="S103" i="1"/>
  <c r="S105" i="1" s="1"/>
  <c r="Q89" i="1"/>
  <c r="Q121" i="1" s="1"/>
  <c r="Q90" i="1"/>
  <c r="Q122" i="1" s="1"/>
  <c r="Q91" i="1"/>
  <c r="U69" i="1"/>
  <c r="U126" i="1" s="1"/>
  <c r="U123" i="1"/>
  <c r="U82" i="1"/>
  <c r="U84" i="1"/>
  <c r="T70" i="1"/>
  <c r="T104" i="1"/>
  <c r="Y45" i="1"/>
  <c r="R111" i="1"/>
  <c r="R107" i="1"/>
  <c r="U131" i="1"/>
  <c r="U42" i="1"/>
  <c r="U132" i="1" s="1"/>
  <c r="U98" i="1"/>
  <c r="U100" i="1" s="1"/>
  <c r="V96" i="1" s="1"/>
  <c r="V95" i="1"/>
  <c r="U97" i="1"/>
  <c r="U99" i="1" s="1"/>
  <c r="X49" i="1"/>
  <c r="V24" i="1"/>
  <c r="V22" i="1"/>
  <c r="V25" i="1"/>
  <c r="V27" i="1"/>
  <c r="V35" i="1"/>
  <c r="V41" i="1"/>
  <c r="V66" i="1"/>
  <c r="V23" i="1"/>
  <c r="V37" i="1"/>
  <c r="V38" i="1" s="1"/>
  <c r="V130" i="1" s="1"/>
  <c r="V39" i="1"/>
  <c r="V40" i="1" s="1"/>
  <c r="V112" i="1"/>
  <c r="V62" i="1"/>
  <c r="V80" i="1" s="1"/>
  <c r="V74" i="1"/>
  <c r="V34" i="1"/>
  <c r="V73" i="1" s="1"/>
  <c r="V33" i="1"/>
  <c r="V72" i="1" s="1"/>
  <c r="V75" i="1"/>
  <c r="V26" i="1"/>
  <c r="V77" i="1" s="1"/>
  <c r="V32" i="1"/>
  <c r="V71" i="1" s="1"/>
  <c r="V83" i="1"/>
  <c r="V92" i="1"/>
  <c r="V120" i="1"/>
  <c r="V117" i="1"/>
  <c r="V106" i="1" s="1"/>
  <c r="W20" i="1"/>
  <c r="U28" i="1"/>
  <c r="U134" i="1" s="1"/>
  <c r="U29" i="1"/>
  <c r="U78" i="1"/>
  <c r="Y54" i="1"/>
  <c r="S108" i="1"/>
  <c r="S87" i="1"/>
  <c r="U36" i="1"/>
  <c r="U129" i="1" s="1"/>
  <c r="U133" i="1" s="1"/>
  <c r="U76" i="1"/>
  <c r="U85" i="1" s="1"/>
  <c r="U68" i="1"/>
  <c r="U125" i="1" s="1"/>
  <c r="U67" i="1"/>
  <c r="U124" i="1" s="1"/>
  <c r="U79" i="1"/>
  <c r="R128" i="1"/>
  <c r="R88" i="1"/>
  <c r="T133" i="1"/>
  <c r="T108" i="1"/>
  <c r="T87" i="1"/>
  <c r="T128" i="1" s="1"/>
  <c r="U127" i="1" l="1"/>
  <c r="U86" i="1"/>
  <c r="R90" i="1"/>
  <c r="R122" i="1" s="1"/>
  <c r="R89" i="1"/>
  <c r="R121" i="1" s="1"/>
  <c r="R91" i="1"/>
  <c r="S128" i="1"/>
  <c r="S88" i="1"/>
  <c r="W66" i="1"/>
  <c r="W25" i="1"/>
  <c r="W24" i="1"/>
  <c r="W69" i="1" s="1"/>
  <c r="W126" i="1" s="1"/>
  <c r="W27" i="1"/>
  <c r="W39" i="1"/>
  <c r="W40" i="1" s="1"/>
  <c r="W35" i="1"/>
  <c r="W23" i="1"/>
  <c r="W41" i="1"/>
  <c r="W22" i="1"/>
  <c r="W37" i="1"/>
  <c r="W38" i="1" s="1"/>
  <c r="W130" i="1" s="1"/>
  <c r="W112" i="1"/>
  <c r="W33" i="1"/>
  <c r="W72" i="1" s="1"/>
  <c r="W75" i="1"/>
  <c r="W26" i="1"/>
  <c r="W77" i="1" s="1"/>
  <c r="W32" i="1"/>
  <c r="W71" i="1" s="1"/>
  <c r="W83" i="1"/>
  <c r="W62" i="1"/>
  <c r="W80" i="1" s="1"/>
  <c r="W74" i="1"/>
  <c r="W34" i="1"/>
  <c r="W73" i="1" s="1"/>
  <c r="W92" i="1"/>
  <c r="W120" i="1"/>
  <c r="W117" i="1"/>
  <c r="W106" i="1" s="1"/>
  <c r="X20" i="1"/>
  <c r="V123" i="1"/>
  <c r="V84" i="1"/>
  <c r="V82" i="1"/>
  <c r="Z45" i="1"/>
  <c r="V42" i="1"/>
  <c r="V132" i="1" s="1"/>
  <c r="V131" i="1"/>
  <c r="V68" i="1"/>
  <c r="V125" i="1" s="1"/>
  <c r="V67" i="1"/>
  <c r="V124" i="1" s="1"/>
  <c r="V79" i="1"/>
  <c r="U108" i="1"/>
  <c r="U87" i="1"/>
  <c r="U128" i="1" s="1"/>
  <c r="U104" i="1"/>
  <c r="T88" i="1"/>
  <c r="Z54" i="1"/>
  <c r="V36" i="1"/>
  <c r="V129" i="1" s="1"/>
  <c r="V133" i="1" s="1"/>
  <c r="V76" i="1"/>
  <c r="V85" i="1" s="1"/>
  <c r="V69" i="1"/>
  <c r="V126" i="1" s="1"/>
  <c r="V98" i="1"/>
  <c r="V100" i="1" s="1"/>
  <c r="W96" i="1" s="1"/>
  <c r="W95" i="1"/>
  <c r="V97" i="1"/>
  <c r="U70" i="1"/>
  <c r="V28" i="1"/>
  <c r="V134" i="1" s="1"/>
  <c r="V29" i="1"/>
  <c r="V78" i="1"/>
  <c r="Y49" i="1"/>
  <c r="T103" i="1"/>
  <c r="T105" i="1" s="1"/>
  <c r="T91" i="1"/>
  <c r="S111" i="1"/>
  <c r="S107" i="1"/>
  <c r="V127" i="1" l="1"/>
  <c r="V86" i="1"/>
  <c r="W98" i="1"/>
  <c r="W100" i="1" s="1"/>
  <c r="X96" i="1" s="1"/>
  <c r="X95" i="1"/>
  <c r="W97" i="1"/>
  <c r="W99" i="1" s="1"/>
  <c r="V70" i="1"/>
  <c r="X22" i="1"/>
  <c r="X25" i="1"/>
  <c r="X27" i="1"/>
  <c r="X37" i="1"/>
  <c r="X38" i="1" s="1"/>
  <c r="X130" i="1" s="1"/>
  <c r="X24" i="1"/>
  <c r="X69" i="1" s="1"/>
  <c r="X126" i="1" s="1"/>
  <c r="X39" i="1"/>
  <c r="X40" i="1" s="1"/>
  <c r="X23" i="1"/>
  <c r="X35" i="1"/>
  <c r="X66" i="1"/>
  <c r="X41" i="1"/>
  <c r="X112" i="1"/>
  <c r="X62" i="1"/>
  <c r="X80" i="1" s="1"/>
  <c r="X74" i="1"/>
  <c r="X34" i="1"/>
  <c r="X73" i="1" s="1"/>
  <c r="X33" i="1"/>
  <c r="X72" i="1" s="1"/>
  <c r="X75" i="1"/>
  <c r="X26" i="1"/>
  <c r="X77" i="1" s="1"/>
  <c r="X32" i="1"/>
  <c r="X71" i="1" s="1"/>
  <c r="X83" i="1"/>
  <c r="X117" i="1"/>
  <c r="X106" i="1" s="1"/>
  <c r="X92" i="1"/>
  <c r="X120" i="1"/>
  <c r="Y20" i="1"/>
  <c r="Z49" i="1"/>
  <c r="W36" i="1"/>
  <c r="W129" i="1" s="1"/>
  <c r="W76" i="1"/>
  <c r="W85" i="1" s="1"/>
  <c r="U88" i="1"/>
  <c r="U103" i="1"/>
  <c r="U105" i="1" s="1"/>
  <c r="U91" i="1"/>
  <c r="W68" i="1"/>
  <c r="W125" i="1" s="1"/>
  <c r="W67" i="1"/>
  <c r="W124" i="1" s="1"/>
  <c r="W79" i="1"/>
  <c r="W131" i="1"/>
  <c r="W42" i="1"/>
  <c r="W132" i="1" s="1"/>
  <c r="W123" i="1"/>
  <c r="W104" i="1"/>
  <c r="W82" i="1"/>
  <c r="W84" i="1"/>
  <c r="T111" i="1"/>
  <c r="T107" i="1"/>
  <c r="V99" i="1"/>
  <c r="T90" i="1"/>
  <c r="T122" i="1" s="1"/>
  <c r="T89" i="1"/>
  <c r="T121" i="1" s="1"/>
  <c r="V104" i="1"/>
  <c r="W28" i="1"/>
  <c r="W134" i="1" s="1"/>
  <c r="W29" i="1"/>
  <c r="W78" i="1"/>
  <c r="S89" i="1"/>
  <c r="S121" i="1" s="1"/>
  <c r="S90" i="1"/>
  <c r="S122" i="1" s="1"/>
  <c r="S91" i="1"/>
  <c r="W127" i="1" l="1"/>
  <c r="W86" i="1"/>
  <c r="W70" i="1"/>
  <c r="W133" i="1"/>
  <c r="X36" i="1"/>
  <c r="X129" i="1" s="1"/>
  <c r="X76" i="1"/>
  <c r="V103" i="1"/>
  <c r="V105" i="1" s="1"/>
  <c r="V108" i="1"/>
  <c r="V87" i="1"/>
  <c r="U111" i="1"/>
  <c r="U107" i="1"/>
  <c r="Y22" i="1"/>
  <c r="Y25" i="1"/>
  <c r="Y27" i="1"/>
  <c r="Y66" i="1"/>
  <c r="Y23" i="1"/>
  <c r="Y24" i="1"/>
  <c r="Y69" i="1" s="1"/>
  <c r="Y126" i="1" s="1"/>
  <c r="Y33" i="1"/>
  <c r="Y72" i="1" s="1"/>
  <c r="Y35" i="1"/>
  <c r="Y112" i="1"/>
  <c r="Y32" i="1"/>
  <c r="Y71" i="1" s="1"/>
  <c r="Y74" i="1"/>
  <c r="Y37" i="1"/>
  <c r="Y38" i="1" s="1"/>
  <c r="Y130" i="1" s="1"/>
  <c r="Y62" i="1"/>
  <c r="Y80" i="1" s="1"/>
  <c r="Y75" i="1"/>
  <c r="Y39" i="1"/>
  <c r="Y40" i="1" s="1"/>
  <c r="Y26" i="1"/>
  <c r="Y77" i="1" s="1"/>
  <c r="Y34" i="1"/>
  <c r="Y73" i="1" s="1"/>
  <c r="Y83" i="1"/>
  <c r="Y41" i="1"/>
  <c r="Y117" i="1"/>
  <c r="Y106" i="1" s="1"/>
  <c r="Y92" i="1"/>
  <c r="Y120" i="1"/>
  <c r="Z20" i="1"/>
  <c r="X134" i="1"/>
  <c r="X29" i="1"/>
  <c r="X28" i="1"/>
  <c r="X78" i="1"/>
  <c r="W108" i="1"/>
  <c r="W87" i="1"/>
  <c r="W128" i="1" s="1"/>
  <c r="U89" i="1"/>
  <c r="U121" i="1" s="1"/>
  <c r="U90" i="1"/>
  <c r="U122" i="1" s="1"/>
  <c r="X42" i="1"/>
  <c r="X132" i="1" s="1"/>
  <c r="X131" i="1"/>
  <c r="X98" i="1"/>
  <c r="X100" i="1" s="1"/>
  <c r="Y96" i="1" s="1"/>
  <c r="Y95" i="1"/>
  <c r="X97" i="1"/>
  <c r="X99" i="1" s="1"/>
  <c r="X123" i="1"/>
  <c r="X84" i="1"/>
  <c r="X85" i="1" s="1"/>
  <c r="X82" i="1"/>
  <c r="X68" i="1"/>
  <c r="X125" i="1" s="1"/>
  <c r="X67" i="1"/>
  <c r="X124" i="1" s="1"/>
  <c r="X79" i="1"/>
  <c r="X127" i="1" l="1"/>
  <c r="X86" i="1"/>
  <c r="X70" i="1"/>
  <c r="X108" i="1"/>
  <c r="X87" i="1"/>
  <c r="X128" i="1" s="1"/>
  <c r="Y68" i="1"/>
  <c r="Y125" i="1" s="1"/>
  <c r="Y67" i="1"/>
  <c r="Y124" i="1" s="1"/>
  <c r="Y79" i="1"/>
  <c r="V128" i="1"/>
  <c r="V88" i="1"/>
  <c r="Y36" i="1"/>
  <c r="Y129" i="1" s="1"/>
  <c r="Y76" i="1"/>
  <c r="Y104" i="1"/>
  <c r="Y123" i="1"/>
  <c r="Y84" i="1"/>
  <c r="Y70" i="1"/>
  <c r="Y82" i="1"/>
  <c r="X133" i="1"/>
  <c r="Z22" i="1"/>
  <c r="Z25" i="1"/>
  <c r="Z27" i="1"/>
  <c r="Z24" i="1"/>
  <c r="Z23" i="1"/>
  <c r="Z66" i="1"/>
  <c r="Z33" i="1"/>
  <c r="Z72" i="1" s="1"/>
  <c r="Z35" i="1"/>
  <c r="Z32" i="1"/>
  <c r="Z71" i="1" s="1"/>
  <c r="Z74" i="1"/>
  <c r="Z37" i="1"/>
  <c r="Z38" i="1" s="1"/>
  <c r="Z130" i="1" s="1"/>
  <c r="C7" i="10" s="1"/>
  <c r="Z112" i="1"/>
  <c r="D113" i="1" s="1"/>
  <c r="C31" i="10" s="1"/>
  <c r="Z62" i="1"/>
  <c r="Z80" i="1" s="1"/>
  <c r="Z75" i="1"/>
  <c r="Z39" i="1"/>
  <c r="Z40" i="1" s="1"/>
  <c r="Z26" i="1"/>
  <c r="Z77" i="1" s="1"/>
  <c r="Z34" i="1"/>
  <c r="Z73" i="1" s="1"/>
  <c r="Z83" i="1"/>
  <c r="Z41" i="1"/>
  <c r="Z120" i="1"/>
  <c r="Z117" i="1"/>
  <c r="Z106" i="1" s="1"/>
  <c r="Z92" i="1"/>
  <c r="Y131" i="1"/>
  <c r="Y42" i="1"/>
  <c r="Y132" i="1" s="1"/>
  <c r="Y28" i="1"/>
  <c r="Y134" i="1" s="1"/>
  <c r="Y29" i="1"/>
  <c r="Y78" i="1"/>
  <c r="W88" i="1"/>
  <c r="Y98" i="1"/>
  <c r="Y100" i="1" s="1"/>
  <c r="Z96" i="1" s="1"/>
  <c r="Z95" i="1"/>
  <c r="Y97" i="1"/>
  <c r="Y99" i="1" s="1"/>
  <c r="X104" i="1"/>
  <c r="Y85" i="1"/>
  <c r="V111" i="1"/>
  <c r="V107" i="1"/>
  <c r="W103" i="1"/>
  <c r="W105" i="1" s="1"/>
  <c r="W111" i="1" l="1"/>
  <c r="W107" i="1"/>
  <c r="W89" i="1"/>
  <c r="W121" i="1" s="1"/>
  <c r="W90" i="1"/>
  <c r="W122" i="1" s="1"/>
  <c r="Y108" i="1"/>
  <c r="Y87" i="1"/>
  <c r="Y128" i="1" s="1"/>
  <c r="Z42" i="1"/>
  <c r="Z132" i="1" s="1"/>
  <c r="C9" i="10" s="1"/>
  <c r="Z131" i="1"/>
  <c r="C8" i="10" s="1"/>
  <c r="Z28" i="1"/>
  <c r="Z29" i="1"/>
  <c r="Z78" i="1"/>
  <c r="Z98" i="1"/>
  <c r="Z100" i="1" s="1"/>
  <c r="Z97" i="1"/>
  <c r="Z123" i="1"/>
  <c r="C22" i="10" s="1"/>
  <c r="Z84" i="1"/>
  <c r="Z82" i="1"/>
  <c r="Y103" i="1"/>
  <c r="Y105" i="1" s="1"/>
  <c r="W91" i="1"/>
  <c r="Y127" i="1"/>
  <c r="Y86" i="1"/>
  <c r="Y88" i="1"/>
  <c r="Z134" i="1"/>
  <c r="C5" i="10" s="1"/>
  <c r="Z68" i="1"/>
  <c r="Z125" i="1" s="1"/>
  <c r="C24" i="10" s="1"/>
  <c r="Z67" i="1"/>
  <c r="Z124" i="1" s="1"/>
  <c r="C23" i="10" s="1"/>
  <c r="Z79" i="1"/>
  <c r="Y133" i="1"/>
  <c r="X88" i="1"/>
  <c r="Z36" i="1"/>
  <c r="Z129" i="1" s="1"/>
  <c r="Z76" i="1"/>
  <c r="Z85" i="1" s="1"/>
  <c r="Z69" i="1"/>
  <c r="Z126" i="1" s="1"/>
  <c r="C25" i="10" s="1"/>
  <c r="V90" i="1"/>
  <c r="V122" i="1" s="1"/>
  <c r="V89" i="1"/>
  <c r="V121" i="1" s="1"/>
  <c r="V91" i="1"/>
  <c r="X103" i="1"/>
  <c r="X105" i="1" s="1"/>
  <c r="X91" i="1"/>
  <c r="Z127" i="1" l="1"/>
  <c r="C17" i="10" s="1"/>
  <c r="Z86" i="1"/>
  <c r="C26" i="10"/>
  <c r="X90" i="1"/>
  <c r="X122" i="1" s="1"/>
  <c r="X89" i="1"/>
  <c r="X121" i="1" s="1"/>
  <c r="Z104" i="1"/>
  <c r="Y111" i="1"/>
  <c r="Y107" i="1"/>
  <c r="X111" i="1"/>
  <c r="X107" i="1"/>
  <c r="Z70" i="1"/>
  <c r="Z99" i="1"/>
  <c r="Z133" i="1"/>
  <c r="C6" i="10"/>
  <c r="C10" i="10" s="1"/>
  <c r="Y90" i="1"/>
  <c r="Y122" i="1" s="1"/>
  <c r="Y89" i="1"/>
  <c r="Y121" i="1" s="1"/>
  <c r="Y91" i="1"/>
  <c r="Z103" i="1" l="1"/>
  <c r="Z105" i="1" s="1"/>
  <c r="Z108" i="1"/>
  <c r="Z87" i="1"/>
  <c r="C18" i="10"/>
  <c r="Z128" i="1" l="1"/>
  <c r="C19" i="10" s="1"/>
  <c r="Z88" i="1"/>
  <c r="Z111" i="1"/>
  <c r="Z107" i="1"/>
  <c r="Z90" i="1" l="1"/>
  <c r="Z122" i="1" s="1"/>
  <c r="C30" i="10" s="1"/>
  <c r="Z89" i="1"/>
  <c r="Z121" i="1" s="1"/>
  <c r="C29" i="10" s="1"/>
  <c r="Z91" i="1"/>
</calcChain>
</file>

<file path=xl/sharedStrings.xml><?xml version="1.0" encoding="utf-8"?>
<sst xmlns="http://schemas.openxmlformats.org/spreadsheetml/2006/main" count="288" uniqueCount="206">
  <si>
    <t>CHOOSE ONE</t>
  </si>
  <si>
    <t>FULLY LOADED COST/BARREL</t>
  </si>
  <si>
    <t>$/Barrel</t>
  </si>
  <si>
    <t>Residue Management Costs</t>
  </si>
  <si>
    <t>Fuel Shipping Cost</t>
  </si>
  <si>
    <t>Natual Gas Cost</t>
  </si>
  <si>
    <t>Sale Price of Crude Oil</t>
  </si>
  <si>
    <t>Grant</t>
  </si>
  <si>
    <t>$</t>
  </si>
  <si>
    <t>Total Capex Less Grant</t>
  </si>
  <si>
    <t>Title:</t>
  </si>
  <si>
    <t>Version:</t>
  </si>
  <si>
    <t xml:space="preserve">Author: </t>
  </si>
  <si>
    <t xml:space="preserve">Operating the Tool: </t>
  </si>
  <si>
    <t>Understanding the Results:</t>
  </si>
  <si>
    <t>USER INPUTS</t>
  </si>
  <si>
    <t>FACILITY DESIGN</t>
  </si>
  <si>
    <t>COSTS</t>
  </si>
  <si>
    <t>Average Annual Labor Cost</t>
  </si>
  <si>
    <t>FINANCING</t>
  </si>
  <si>
    <t>INFLATION, TAXES</t>
  </si>
  <si>
    <t>O&amp;M/Barrel</t>
  </si>
  <si>
    <t>Fuel Shipping ($/year)</t>
  </si>
  <si>
    <t>Soft Costs</t>
  </si>
  <si>
    <t>MODEL OUTPUTS</t>
  </si>
  <si>
    <t>FACILITY OUTPUTS</t>
  </si>
  <si>
    <t>MINIMUM</t>
  </si>
  <si>
    <t>Total Capital Investment</t>
  </si>
  <si>
    <t>$ in Investment YR</t>
  </si>
  <si>
    <t>Total Annual Operating and Maintenance in YR 1 (Excl. Debt Service)</t>
  </si>
  <si>
    <t xml:space="preserve">Total Annual Debt Service </t>
  </si>
  <si>
    <t>REVENUES IN YR 1 OPERATIONS</t>
  </si>
  <si>
    <t xml:space="preserve">TOTAL REVENUES IN YR 1 </t>
  </si>
  <si>
    <t>LEVERED IRR</t>
  </si>
  <si>
    <t>Pre-Tax Fully Loaded Cost/Barrel</t>
  </si>
  <si>
    <t>Annual Operating and Maintenance Expense</t>
  </si>
  <si>
    <t>Annual Debt Service</t>
  </si>
  <si>
    <t>Gate Fee Revenues</t>
  </si>
  <si>
    <t>Fully Loaded Cost/Barrel ($/Barrel)</t>
  </si>
  <si>
    <t>Annual Pre-Tax Profits</t>
  </si>
  <si>
    <t>Cumulative Cash Flow</t>
  </si>
  <si>
    <t>BOYB</t>
  </si>
  <si>
    <t>Interest</t>
  </si>
  <si>
    <t>Principal</t>
  </si>
  <si>
    <t>Total Debt Service</t>
  </si>
  <si>
    <t>EOYB</t>
  </si>
  <si>
    <t>Operating Cash Flow</t>
  </si>
  <si>
    <t>EBIT</t>
  </si>
  <si>
    <t>Taxes</t>
  </si>
  <si>
    <t>After Tax EBIT</t>
  </si>
  <si>
    <t>Depreciation</t>
  </si>
  <si>
    <t>Debt Service</t>
  </si>
  <si>
    <t xml:space="preserve">Initial Equity </t>
  </si>
  <si>
    <t>Initial Debt</t>
  </si>
  <si>
    <t>Levered Free Cash Flow</t>
  </si>
  <si>
    <t>DO NOT ERASE</t>
  </si>
  <si>
    <t>Levered IRR</t>
  </si>
  <si>
    <t>Capex and Depreciation Schedule</t>
  </si>
  <si>
    <t>Plant and Equipment</t>
  </si>
  <si>
    <t>Units</t>
  </si>
  <si>
    <t>Sale Price Middle Distillate</t>
  </si>
  <si>
    <t>Sale Price Light Distillate</t>
  </si>
  <si>
    <t>Sale Price Heavy Distillate</t>
  </si>
  <si>
    <t>Middle Distillate Production</t>
  </si>
  <si>
    <t>Heavy Distillate Production</t>
  </si>
  <si>
    <t>Middle Distillate Production/Year (Barrels)</t>
  </si>
  <si>
    <t>Light Distillate Production/Year (Barrels)</t>
  </si>
  <si>
    <t>Heavy Distillate Production/Year (Barrels)</t>
  </si>
  <si>
    <t>Gate Fee</t>
  </si>
  <si>
    <t>Gate Fee ($/year)</t>
  </si>
  <si>
    <t>CONVERSION RATES</t>
  </si>
  <si>
    <t>Gallons</t>
  </si>
  <si>
    <t>1 US Barrel = X Gallons</t>
  </si>
  <si>
    <t>1 US Barrel = X Liters</t>
  </si>
  <si>
    <t>Liters</t>
  </si>
  <si>
    <t>Royalty</t>
  </si>
  <si>
    <t>Royalty ($/year)</t>
  </si>
  <si>
    <t>CALCULATIONS</t>
  </si>
  <si>
    <t>Assumptions</t>
  </si>
  <si>
    <t>Investment Year</t>
  </si>
  <si>
    <t>Year</t>
  </si>
  <si>
    <t>Construction Period</t>
  </si>
  <si>
    <t>Total Capex</t>
  </si>
  <si>
    <t>Operations Start</t>
  </si>
  <si>
    <t>Maintenance Begins</t>
  </si>
  <si>
    <t>Project Lifespan</t>
  </si>
  <si>
    <t>Years</t>
  </si>
  <si>
    <t>$/Year</t>
  </si>
  <si>
    <t>Electricity Cost</t>
  </si>
  <si>
    <t>$/kWh</t>
  </si>
  <si>
    <t>Water Cost</t>
  </si>
  <si>
    <t>Financing</t>
  </si>
  <si>
    <t>Total Debt</t>
  </si>
  <si>
    <t>Total Equity</t>
  </si>
  <si>
    <t>% Debt</t>
  </si>
  <si>
    <t>%</t>
  </si>
  <si>
    <t>% Equity</t>
  </si>
  <si>
    <t>Equity Payback</t>
  </si>
  <si>
    <t>CHECK</t>
  </si>
  <si>
    <t>Interest Rate</t>
  </si>
  <si>
    <t>Debt Term</t>
  </si>
  <si>
    <t>Inflation- Petroleum Product Sales</t>
  </si>
  <si>
    <t>Inflation General</t>
  </si>
  <si>
    <t>Tax Rate</t>
  </si>
  <si>
    <t>CALENDAR YEAR</t>
  </si>
  <si>
    <t>OPERATING YEAR</t>
  </si>
  <si>
    <t>Feedstock Assumptions</t>
  </si>
  <si>
    <t>Operating Assumptions</t>
  </si>
  <si>
    <t>Electricity Consumption/Year (kWh)</t>
  </si>
  <si>
    <t>Economic Assumptions</t>
  </si>
  <si>
    <t>Electricity Purchase ($/kWh)</t>
  </si>
  <si>
    <t>Insurance ($/year)</t>
  </si>
  <si>
    <t>Maintenance ($/year)</t>
  </si>
  <si>
    <t>Consolidated Profit and Loss</t>
  </si>
  <si>
    <t>Total Pre-Tax Revenues ($/year)</t>
  </si>
  <si>
    <t>Water Purchases ($/year)</t>
  </si>
  <si>
    <t>Electricity Purchase ($/year)</t>
  </si>
  <si>
    <t>Catalyst Purchases ($/year)</t>
  </si>
  <si>
    <t>Labor ($/year)</t>
  </si>
  <si>
    <t>Lease ($/year)</t>
  </si>
  <si>
    <t>Feedstock Acquisition ($/year)</t>
  </si>
  <si>
    <t>Total Operating and Maintenance ($/year)</t>
  </si>
  <si>
    <t>Debt Service ($/year)</t>
  </si>
  <si>
    <t>Fully Loaded Cost of Production ($/year)</t>
  </si>
  <si>
    <t>Infrastructure &amp; Site Development Cost</t>
  </si>
  <si>
    <t>Equipment &amp; Installation Cost</t>
  </si>
  <si>
    <t>Net Electricity Demand</t>
  </si>
  <si>
    <t>% of Incoming Feedstock</t>
  </si>
  <si>
    <t>Net Natural Gas Demand</t>
  </si>
  <si>
    <t xml:space="preserve">No. of Full Time Employees </t>
  </si>
  <si>
    <t>Catalyst Use</t>
  </si>
  <si>
    <t>Catalyst Cost</t>
  </si>
  <si>
    <t>Persons</t>
  </si>
  <si>
    <t>System Design Capacity</t>
  </si>
  <si>
    <t>OPERATING ASSUMPTIONS</t>
  </si>
  <si>
    <t>COST ASSUMPTIONS</t>
  </si>
  <si>
    <t>REVENUE ASSUMPTIONS</t>
  </si>
  <si>
    <t>Net Water Demand</t>
  </si>
  <si>
    <t>% of Liquid Petroleum Product Sales</t>
  </si>
  <si>
    <t>Synthetic Crude Oil Production</t>
  </si>
  <si>
    <t>% of Total Capex (Excluding Soft Costs)</t>
  </si>
  <si>
    <t>Synthetic Crude Oil Production/Year (Barrels)</t>
  </si>
  <si>
    <t>Land/Building Lease Price ($/year)</t>
  </si>
  <si>
    <t>Liquid Petroleum Product Sales ($/year)</t>
  </si>
  <si>
    <t>Residue Management ($/year)</t>
  </si>
  <si>
    <t>Light Distillate Production</t>
  </si>
  <si>
    <t>Middle Distillate Fuel Production</t>
  </si>
  <si>
    <t>Barrels/YR</t>
  </si>
  <si>
    <t>Barrels of Synthetic Crude Oil Produced</t>
  </si>
  <si>
    <t>Barrels of Middle Distillate Produced</t>
  </si>
  <si>
    <t>Barrels of Light Distillate Produced</t>
  </si>
  <si>
    <t>Barrels of Heavy Distillate Produced</t>
  </si>
  <si>
    <t>Total Barrels of Liquid Petroleum Product Produced</t>
  </si>
  <si>
    <t>Liquid Petroleum Product Revenues</t>
  </si>
  <si>
    <t>TOTAL LIQUID PETROLEUM PRODUCTS PRODUCED</t>
  </si>
  <si>
    <t>$/YR in YR 1</t>
  </si>
  <si>
    <t>US Standard</t>
  </si>
  <si>
    <t>Metric</t>
  </si>
  <si>
    <t>Version 1</t>
  </si>
  <si>
    <t>Ocean Recovery Alliance on Behalf of the American Chemsitry Council</t>
  </si>
  <si>
    <t>Annual Maintenance Expense</t>
  </si>
  <si>
    <t>Annual Insurance Expense</t>
  </si>
  <si>
    <t>Inflation- Feedstock Acquisition</t>
  </si>
  <si>
    <t>Land + Building Footprint</t>
  </si>
  <si>
    <t>Land + Building Purchase</t>
  </si>
  <si>
    <t>Land + Building Lease</t>
  </si>
  <si>
    <t>Operating and Maintenance Cost/Barrel in YR 1 (Excl. Debt Service)</t>
  </si>
  <si>
    <t xml:space="preserve">All user inputs are coded in blue, constants and conversion factors are coded in pink, and model outputs and calculations appear in purple or black. All user inputs are located on the inputs tab. Select input cells contain hoovering notes that provide supplemental information and guidance to the user. The model also includes several checks that verify whether inputs have been entered correctly. Once all inputs have been entered, select outputs are then featured on the model outputs tab. </t>
  </si>
  <si>
    <t xml:space="preserve">Key outputs of the model include: fully loaded cost of producing 1 unit of liquid petroleum product, fully loaded cost of producing 1 barrel of liquid petroleum product and IRR.  Outputs include debt service and/or equity returns depending on the inputs entered. IRR calculations are leverred when a blend of debt and equity is specified and unleverred in the absence of debt. </t>
  </si>
  <si>
    <t>System Uptime</t>
  </si>
  <si>
    <t>Days/Year</t>
  </si>
  <si>
    <t>Disclaimer:</t>
  </si>
  <si>
    <t>Total Incoming Feedstock</t>
  </si>
  <si>
    <t>Pre-processing Rejects Recycled - Plastic</t>
  </si>
  <si>
    <t>Pre-processing Rejects Recycled - Metals</t>
  </si>
  <si>
    <t>Pre-processing Rejects to Landfill</t>
  </si>
  <si>
    <t>Other Consumables</t>
  </si>
  <si>
    <t>Selling, General and Administrative Expense</t>
  </si>
  <si>
    <t>Weighted Avg. Sale Price of Recycled Metal</t>
  </si>
  <si>
    <t>Weighted Avg. Sale Price of Recycled Plastic</t>
  </si>
  <si>
    <t>Inflation- Recyclable Sales</t>
  </si>
  <si>
    <t>Processing Residues (e.g. Char)</t>
  </si>
  <si>
    <t>Pre-Processing Reject Management Costs</t>
  </si>
  <si>
    <t>Pre-Processing Reject Management ($/year)</t>
  </si>
  <si>
    <t>Sale of Recycables ($/year)</t>
  </si>
  <si>
    <t>$/Full Time Employee/Year</t>
  </si>
  <si>
    <t>Average Annual Labor Rate ($/Employee/year)</t>
  </si>
  <si>
    <t>Avoided Feedstock Management Cost ($/year)</t>
  </si>
  <si>
    <t>Avoided Feedstock Management Costs</t>
  </si>
  <si>
    <t>Other Consumables ($/year)</t>
  </si>
  <si>
    <t>Selling, General and Administrative Expense ($/year)</t>
  </si>
  <si>
    <t>Avoided Feedstock Management Cost</t>
  </si>
  <si>
    <t>Plastics Diverted from Alternative Management</t>
  </si>
  <si>
    <t>Weighted Average Cost of Acquiring Feedstock</t>
  </si>
  <si>
    <t>Processing Residues</t>
  </si>
  <si>
    <t>Facility Gate Fee Revenues</t>
  </si>
  <si>
    <t>Recyclables Sales</t>
  </si>
  <si>
    <t xml:space="preserve">Revenues from Sale of Reject Recycables </t>
  </si>
  <si>
    <t>% of Processing Residues</t>
  </si>
  <si>
    <t>Processing Residues Landfilled (e.g. Char)</t>
  </si>
  <si>
    <t>Processing Residues Given Away/Sold (e.g. Char)</t>
  </si>
  <si>
    <t>This model is intended as an estimating tool and is not meant to replace financial due diligence. Queries or concerns regarding project cost and financing specifications should be discussed with a technology supplier.</t>
  </si>
  <si>
    <t>Feedstock to PTF Reactor</t>
  </si>
  <si>
    <t>% of Feedstock to PTF Reactor</t>
  </si>
  <si>
    <t>Plastics To Fuel Cost Estimating Tool For Prospective Project Developers</t>
  </si>
  <si>
    <t>Plastics Diverted from Alternate Management (Feedstock to PTF Reactor + Plastic Rejects Recycled - Processing Residues to Landfill)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</si>
</sst>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_(* \(#,##0\);_(* &quot;-&quot;??_);_(@_)"/>
    <numFmt numFmtId="166" formatCode="&quot;$&quot;#,##0.00;[Red]&quot;$&quot;#,##0.00"/>
    <numFmt numFmtId="167" formatCode="_-* #,##0_-;\-* #,##0_-;_-* &quot;-&quot;??_-;_-@_-"/>
    <numFmt numFmtId="168" formatCode="&quot;$&quot;#,##0.00"/>
    <numFmt numFmtId="169" formatCode="#,##0_ ;\-#,##0\ "/>
  </numFmts>
  <fonts count="26"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rgb="FF000000"/>
      <name val="Calibri"/>
      <family val="2"/>
      <scheme val="minor"/>
    </font>
    <font>
      <b/>
      <sz val="18"/>
      <color rgb="FFFFFFFF"/>
      <name val="Calibri"/>
      <family val="2"/>
      <scheme val="minor"/>
    </font>
    <font>
      <sz val="12"/>
      <color rgb="FFFFFFFF"/>
      <name val="Calibri"/>
      <family val="2"/>
      <scheme val="minor"/>
    </font>
    <font>
      <sz val="12"/>
      <name val="Calibri"/>
      <family val="2"/>
      <scheme val="minor"/>
    </font>
    <font>
      <sz val="12"/>
      <color rgb="FF3366FF"/>
      <name val="Calibri"/>
      <family val="2"/>
      <scheme val="minor"/>
    </font>
    <font>
      <sz val="12"/>
      <color theme="6" tint="-0.499984740745262"/>
      <name val="Calibri"/>
      <family val="2"/>
      <scheme val="minor"/>
    </font>
    <font>
      <b/>
      <sz val="12"/>
      <name val="Calibri"/>
      <family val="2"/>
      <scheme val="minor"/>
    </font>
    <font>
      <b/>
      <sz val="12"/>
      <color theme="6" tint="-0.499984740745262"/>
      <name val="Calibri"/>
      <family val="2"/>
      <scheme val="minor"/>
    </font>
    <font>
      <sz val="11"/>
      <name val="Arial"/>
      <family val="2"/>
    </font>
    <font>
      <u/>
      <sz val="12"/>
      <color theme="10"/>
      <name val="Calibri"/>
      <family val="2"/>
      <scheme val="minor"/>
    </font>
    <font>
      <u/>
      <sz val="12"/>
      <color theme="11"/>
      <name val="Calibri"/>
      <family val="2"/>
      <scheme val="minor"/>
    </font>
    <font>
      <sz val="12"/>
      <color theme="5" tint="-0.249977111117893"/>
      <name val="Calibri"/>
      <family val="2"/>
      <scheme val="minor"/>
    </font>
    <font>
      <sz val="12"/>
      <color theme="8" tint="-0.249977111117893"/>
      <name val="Calibri"/>
      <family val="2"/>
      <scheme val="minor"/>
    </font>
    <font>
      <b/>
      <sz val="18"/>
      <color theme="0"/>
      <name val="Calibri"/>
      <family val="2"/>
      <scheme val="minor"/>
    </font>
    <font>
      <b/>
      <sz val="12"/>
      <color rgb="FF000000"/>
      <name val="Calibri"/>
      <family val="2"/>
      <scheme val="minor"/>
    </font>
    <font>
      <b/>
      <sz val="12"/>
      <color rgb="FFE26B0A"/>
      <name val="Calibri"/>
      <family val="2"/>
      <scheme val="minor"/>
    </font>
    <font>
      <b/>
      <sz val="12"/>
      <color rgb="FFFFFFFF"/>
      <name val="Calibri"/>
      <family val="2"/>
      <scheme val="minor"/>
    </font>
    <font>
      <sz val="12"/>
      <color rgb="FFE26B0A"/>
      <name val="Calibri"/>
      <family val="2"/>
      <scheme val="minor"/>
    </font>
    <font>
      <b/>
      <sz val="14"/>
      <color theme="1"/>
      <name val="Calibri"/>
      <family val="2"/>
      <scheme val="minor"/>
    </font>
    <font>
      <sz val="8"/>
      <name val="Verdana"/>
      <family val="2"/>
    </font>
    <font>
      <sz val="12"/>
      <color rgb="FF800000"/>
      <name val="Calibri"/>
      <family val="2"/>
      <scheme val="minor"/>
    </font>
  </fonts>
  <fills count="12">
    <fill>
      <patternFill patternType="none"/>
    </fill>
    <fill>
      <patternFill patternType="gray125"/>
    </fill>
    <fill>
      <patternFill patternType="solid">
        <fgColor rgb="FF000000"/>
        <bgColor rgb="FF000000"/>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rgb="FF60497A"/>
        <bgColor rgb="FF000000"/>
      </patternFill>
    </fill>
    <fill>
      <patternFill patternType="solid">
        <fgColor rgb="FFFFFFFF"/>
        <bgColor rgb="FF000000"/>
      </patternFill>
    </fill>
    <fill>
      <patternFill patternType="solid">
        <fgColor rgb="FFE4DFEC"/>
        <bgColor rgb="FF000000"/>
      </patternFill>
    </fill>
  </fills>
  <borders count="8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top/>
      <bottom style="double">
        <color auto="1"/>
      </bottom>
      <diagonal/>
    </border>
    <border>
      <left style="thin">
        <color auto="1"/>
      </left>
      <right/>
      <top/>
      <bottom/>
      <diagonal/>
    </border>
    <border>
      <left style="thin">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medium">
        <color auto="1"/>
      </left>
      <right/>
      <top/>
      <bottom/>
      <diagonal/>
    </border>
    <border>
      <left style="hair">
        <color auto="1"/>
      </left>
      <right style="medium">
        <color auto="1"/>
      </right>
      <top/>
      <bottom style="hair">
        <color auto="1"/>
      </bottom>
      <diagonal/>
    </border>
    <border>
      <left style="medium">
        <color auto="1"/>
      </left>
      <right/>
      <top/>
      <bottom style="hair">
        <color auto="1"/>
      </bottom>
      <diagonal/>
    </border>
    <border>
      <left style="medium">
        <color auto="1"/>
      </left>
      <right style="medium">
        <color auto="1"/>
      </right>
      <top style="medium">
        <color auto="1"/>
      </top>
      <bottom style="medium">
        <color auto="1"/>
      </bottom>
      <diagonal/>
    </border>
    <border>
      <left/>
      <right style="medium">
        <color auto="1"/>
      </right>
      <top/>
      <bottom style="hair">
        <color auto="1"/>
      </bottom>
      <diagonal/>
    </border>
    <border>
      <left/>
      <right/>
      <top/>
      <bottom style="medium">
        <color auto="1"/>
      </bottom>
      <diagonal/>
    </border>
    <border>
      <left style="medium">
        <color auto="1"/>
      </left>
      <right style="hair">
        <color auto="1"/>
      </right>
      <top/>
      <bottom style="hair">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right style="hair">
        <color auto="1"/>
      </right>
      <top style="thin">
        <color auto="1"/>
      </top>
      <bottom style="thin">
        <color auto="1"/>
      </bottom>
      <diagonal/>
    </border>
    <border>
      <left/>
      <right style="hair">
        <color auto="1"/>
      </right>
      <top style="hair">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medium">
        <color auto="1"/>
      </right>
      <top/>
      <bottom style="medium">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right/>
      <top style="hair">
        <color auto="1"/>
      </top>
      <bottom/>
      <diagonal/>
    </border>
    <border>
      <left/>
      <right style="hair">
        <color auto="1"/>
      </right>
      <top style="medium">
        <color auto="1"/>
      </top>
      <bottom style="thin">
        <color auto="1"/>
      </bottom>
      <diagonal/>
    </border>
    <border>
      <left style="hair">
        <color auto="1"/>
      </left>
      <right style="hair">
        <color auto="1"/>
      </right>
      <top style="medium">
        <color auto="1"/>
      </top>
      <bottom/>
      <diagonal/>
    </border>
    <border>
      <left style="hair">
        <color auto="1"/>
      </left>
      <right style="medium">
        <color auto="1"/>
      </right>
      <top style="medium">
        <color auto="1"/>
      </top>
      <bottom style="thin">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medium">
        <color auto="1"/>
      </right>
      <top/>
      <bottom/>
      <diagonal/>
    </border>
    <border>
      <left style="medium">
        <color auto="1"/>
      </left>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top style="hair">
        <color auto="1"/>
      </top>
      <bottom/>
      <diagonal/>
    </border>
    <border>
      <left style="hair">
        <color auto="1"/>
      </left>
      <right style="medium">
        <color auto="1"/>
      </right>
      <top style="hair">
        <color auto="1"/>
      </top>
      <bottom/>
      <diagonal/>
    </border>
    <border>
      <left/>
      <right style="medium">
        <color auto="1"/>
      </right>
      <top style="hair">
        <color auto="1"/>
      </top>
      <bottom/>
      <diagonal/>
    </border>
    <border>
      <left style="medium">
        <color auto="1"/>
      </left>
      <right/>
      <top style="hair">
        <color auto="1"/>
      </top>
      <bottom style="medium">
        <color auto="1"/>
      </bottom>
      <diagonal/>
    </border>
    <border>
      <left style="medium">
        <color auto="1"/>
      </left>
      <right style="medium">
        <color auto="1"/>
      </right>
      <top style="hair">
        <color auto="1"/>
      </top>
      <bottom style="hair">
        <color auto="1"/>
      </bottom>
      <diagonal/>
    </border>
    <border>
      <left style="hair">
        <color auto="1"/>
      </left>
      <right style="medium">
        <color auto="1"/>
      </right>
      <top/>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hair">
        <color auto="1"/>
      </left>
      <right style="hair">
        <color auto="1"/>
      </right>
      <top style="medium">
        <color auto="1"/>
      </top>
      <bottom style="thin">
        <color auto="1"/>
      </bottom>
      <diagonal/>
    </border>
    <border>
      <left/>
      <right style="hair">
        <color auto="1"/>
      </right>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bottom/>
      <diagonal/>
    </border>
    <border>
      <left/>
      <right style="hair">
        <color auto="1"/>
      </right>
      <top/>
      <bottom/>
      <diagonal/>
    </border>
  </borders>
  <cellStyleXfs count="53">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224">
    <xf numFmtId="0" fontId="0" fillId="0" borderId="0" xfId="0"/>
    <xf numFmtId="0" fontId="0" fillId="4" borderId="60" xfId="0" applyFill="1" applyBorder="1" applyAlignment="1">
      <alignment vertical="center" wrapText="1"/>
    </xf>
    <xf numFmtId="0" fontId="0" fillId="4" borderId="60" xfId="0" applyFill="1" applyBorder="1" applyAlignment="1">
      <alignment vertical="center"/>
    </xf>
    <xf numFmtId="0" fontId="5" fillId="0" borderId="0" xfId="0" applyFont="1"/>
    <xf numFmtId="0" fontId="6" fillId="2" borderId="1" xfId="0" applyFont="1" applyFill="1" applyBorder="1"/>
    <xf numFmtId="0" fontId="7" fillId="2" borderId="2" xfId="0" applyFont="1" applyFill="1" applyBorder="1"/>
    <xf numFmtId="0" fontId="7" fillId="2" borderId="3" xfId="0" applyFont="1" applyFill="1" applyBorder="1"/>
    <xf numFmtId="0" fontId="2" fillId="3" borderId="4" xfId="0" applyFont="1" applyFill="1" applyBorder="1"/>
    <xf numFmtId="0" fontId="4" fillId="3" borderId="5" xfId="0" applyFont="1" applyFill="1" applyBorder="1"/>
    <xf numFmtId="0" fontId="4" fillId="3" borderId="6" xfId="0" applyFont="1" applyFill="1" applyBorder="1"/>
    <xf numFmtId="0" fontId="0" fillId="3" borderId="7" xfId="0" applyFill="1" applyBorder="1"/>
    <xf numFmtId="0" fontId="8" fillId="4" borderId="0" xfId="0" applyFont="1" applyFill="1"/>
    <xf numFmtId="0" fontId="8" fillId="4" borderId="9" xfId="0" applyFont="1" applyFill="1" applyBorder="1"/>
    <xf numFmtId="0" fontId="0" fillId="0" borderId="8" xfId="0" applyBorder="1"/>
    <xf numFmtId="0" fontId="0" fillId="0" borderId="9" xfId="0" applyBorder="1"/>
    <xf numFmtId="0" fontId="0" fillId="0" borderId="11" xfId="0" applyBorder="1"/>
    <xf numFmtId="0" fontId="0" fillId="0" borderId="13" xfId="0" applyBorder="1"/>
    <xf numFmtId="166" fontId="0" fillId="0" borderId="0" xfId="0" applyNumberFormat="1"/>
    <xf numFmtId="0" fontId="0" fillId="0" borderId="9" xfId="0" applyBorder="1" applyAlignment="1">
      <alignment horizontal="right"/>
    </xf>
    <xf numFmtId="0" fontId="0" fillId="0" borderId="15" xfId="0" applyBorder="1"/>
    <xf numFmtId="0" fontId="2" fillId="3" borderId="16" xfId="0" applyFont="1" applyFill="1" applyBorder="1"/>
    <xf numFmtId="0" fontId="0" fillId="3" borderId="17" xfId="0" applyFill="1" applyBorder="1"/>
    <xf numFmtId="0" fontId="2" fillId="3" borderId="17" xfId="0" applyFont="1" applyFill="1" applyBorder="1"/>
    <xf numFmtId="0" fontId="2" fillId="3" borderId="18" xfId="0" applyFont="1" applyFill="1" applyBorder="1"/>
    <xf numFmtId="0" fontId="11" fillId="4" borderId="19" xfId="0" applyFont="1" applyFill="1" applyBorder="1"/>
    <xf numFmtId="0" fontId="8" fillId="4" borderId="20" xfId="0" applyFont="1" applyFill="1" applyBorder="1"/>
    <xf numFmtId="0" fontId="11" fillId="4" borderId="20" xfId="0" applyFont="1" applyFill="1" applyBorder="1"/>
    <xf numFmtId="0" fontId="0" fillId="0" borderId="0" xfId="0" applyBorder="1"/>
    <xf numFmtId="0" fontId="3" fillId="6" borderId="17" xfId="0" applyFont="1" applyFill="1" applyBorder="1"/>
    <xf numFmtId="0" fontId="0" fillId="6" borderId="17" xfId="0" applyFill="1" applyBorder="1"/>
    <xf numFmtId="165" fontId="0" fillId="0" borderId="0" xfId="1" applyNumberFormat="1" applyFont="1"/>
    <xf numFmtId="0" fontId="3" fillId="6" borderId="0" xfId="0" applyFont="1" applyFill="1"/>
    <xf numFmtId="0" fontId="10" fillId="4" borderId="0" xfId="0" applyFont="1" applyFill="1"/>
    <xf numFmtId="0" fontId="0" fillId="4" borderId="0" xfId="0" applyFont="1" applyFill="1"/>
    <xf numFmtId="0" fontId="3" fillId="4" borderId="0" xfId="0" applyFont="1" applyFill="1"/>
    <xf numFmtId="166" fontId="0" fillId="4" borderId="0" xfId="1" applyNumberFormat="1" applyFont="1" applyFill="1"/>
    <xf numFmtId="0" fontId="0" fillId="4" borderId="0" xfId="0" applyFill="1"/>
    <xf numFmtId="166" fontId="3" fillId="4" borderId="0" xfId="0" applyNumberFormat="1" applyFont="1" applyFill="1"/>
    <xf numFmtId="166" fontId="0" fillId="4" borderId="0" xfId="0" applyNumberFormat="1" applyFont="1" applyFill="1"/>
    <xf numFmtId="166" fontId="0" fillId="0" borderId="0" xfId="0" applyNumberFormat="1" applyFont="1"/>
    <xf numFmtId="0" fontId="0" fillId="4" borderId="0" xfId="0" applyFont="1" applyFill="1" applyBorder="1"/>
    <xf numFmtId="0" fontId="10" fillId="4" borderId="0" xfId="0" applyFont="1" applyFill="1" applyBorder="1"/>
    <xf numFmtId="166" fontId="0" fillId="0" borderId="0" xfId="0" applyNumberFormat="1" applyFont="1" applyBorder="1"/>
    <xf numFmtId="0" fontId="3" fillId="0" borderId="0" xfId="0" applyFont="1"/>
    <xf numFmtId="0" fontId="3" fillId="4" borderId="20" xfId="0" applyFont="1" applyFill="1" applyBorder="1"/>
    <xf numFmtId="0" fontId="12" fillId="4" borderId="20" xfId="0" applyFont="1" applyFill="1" applyBorder="1"/>
    <xf numFmtId="166" fontId="3" fillId="0" borderId="20" xfId="0" applyNumberFormat="1" applyFont="1" applyBorder="1"/>
    <xf numFmtId="0" fontId="3" fillId="0" borderId="21" xfId="0" applyFont="1" applyBorder="1"/>
    <xf numFmtId="0" fontId="3" fillId="4" borderId="21" xfId="0" applyFont="1" applyFill="1" applyBorder="1"/>
    <xf numFmtId="166" fontId="3" fillId="0" borderId="21" xfId="0" applyNumberFormat="1" applyFont="1" applyBorder="1"/>
    <xf numFmtId="166" fontId="3" fillId="0" borderId="0" xfId="0" applyNumberFormat="1" applyFont="1"/>
    <xf numFmtId="0" fontId="0" fillId="0" borderId="0" xfId="0" applyFont="1"/>
    <xf numFmtId="2" fontId="3" fillId="0" borderId="0" xfId="0" applyNumberFormat="1" applyFont="1"/>
    <xf numFmtId="0" fontId="0" fillId="0" borderId="0" xfId="0" applyFont="1" applyBorder="1"/>
    <xf numFmtId="0" fontId="3" fillId="6" borderId="0" xfId="0" applyFont="1" applyFill="1" applyBorder="1"/>
    <xf numFmtId="0" fontId="0" fillId="6" borderId="0" xfId="0" applyFont="1" applyFill="1" applyBorder="1"/>
    <xf numFmtId="0" fontId="0" fillId="6" borderId="0" xfId="0" applyFill="1"/>
    <xf numFmtId="0" fontId="13" fillId="0" borderId="0" xfId="0" applyFont="1" applyFill="1" applyBorder="1" applyAlignment="1">
      <alignment horizontal="left" wrapText="1"/>
    </xf>
    <xf numFmtId="0" fontId="0" fillId="0" borderId="0" xfId="0" applyFont="1" applyFill="1" applyBorder="1"/>
    <xf numFmtId="0" fontId="0" fillId="4" borderId="1" xfId="0" applyFont="1" applyFill="1" applyBorder="1"/>
    <xf numFmtId="0" fontId="0" fillId="0" borderId="2" xfId="0" applyBorder="1"/>
    <xf numFmtId="9" fontId="0" fillId="0" borderId="2" xfId="0" applyNumberFormat="1" applyBorder="1"/>
    <xf numFmtId="0" fontId="0" fillId="0" borderId="3" xfId="0" applyBorder="1"/>
    <xf numFmtId="0" fontId="3" fillId="0" borderId="0" xfId="0" applyFont="1" applyBorder="1"/>
    <xf numFmtId="0" fontId="8" fillId="4" borderId="23" xfId="0" applyFont="1" applyFill="1" applyBorder="1"/>
    <xf numFmtId="0" fontId="8" fillId="4" borderId="24" xfId="0" applyFont="1" applyFill="1" applyBorder="1"/>
    <xf numFmtId="0" fontId="8" fillId="4" borderId="25" xfId="0" applyFont="1" applyFill="1" applyBorder="1"/>
    <xf numFmtId="0" fontId="8" fillId="4" borderId="26" xfId="0" applyFont="1" applyFill="1" applyBorder="1"/>
    <xf numFmtId="0" fontId="16" fillId="8" borderId="30" xfId="0" applyFont="1" applyFill="1" applyBorder="1"/>
    <xf numFmtId="0" fontId="3" fillId="4" borderId="0" xfId="0" applyFont="1" applyFill="1" applyBorder="1"/>
    <xf numFmtId="0" fontId="12" fillId="4" borderId="0" xfId="0" applyFont="1" applyFill="1" applyBorder="1"/>
    <xf numFmtId="166" fontId="3" fillId="0" borderId="0" xfId="0" applyNumberFormat="1" applyFont="1" applyBorder="1"/>
    <xf numFmtId="0" fontId="0" fillId="0" borderId="36" xfId="0" applyBorder="1"/>
    <xf numFmtId="0" fontId="17" fillId="7" borderId="37" xfId="0" applyFont="1" applyFill="1" applyBorder="1"/>
    <xf numFmtId="3" fontId="17" fillId="0" borderId="38" xfId="0" applyNumberFormat="1" applyFont="1" applyBorder="1"/>
    <xf numFmtId="0" fontId="6" fillId="2" borderId="39" xfId="0" applyFont="1" applyFill="1" applyBorder="1"/>
    <xf numFmtId="0" fontId="20" fillId="2" borderId="40" xfId="0" applyFont="1" applyFill="1" applyBorder="1"/>
    <xf numFmtId="0" fontId="21" fillId="2" borderId="41" xfId="0" applyFont="1" applyFill="1" applyBorder="1"/>
    <xf numFmtId="0" fontId="5" fillId="0" borderId="29" xfId="0" applyFont="1" applyBorder="1"/>
    <xf numFmtId="0" fontId="22" fillId="0" borderId="35" xfId="0" applyFont="1" applyBorder="1"/>
    <xf numFmtId="0" fontId="5" fillId="0" borderId="31" xfId="0" applyFont="1" applyBorder="1"/>
    <xf numFmtId="0" fontId="21" fillId="9" borderId="33" xfId="0" applyFont="1" applyFill="1" applyBorder="1"/>
    <xf numFmtId="0" fontId="21" fillId="9" borderId="24" xfId="0" applyFont="1" applyFill="1" applyBorder="1" applyAlignment="1">
      <alignment horizontal="right"/>
    </xf>
    <xf numFmtId="0" fontId="21" fillId="9" borderId="28" xfId="0" applyFont="1" applyFill="1" applyBorder="1"/>
    <xf numFmtId="0" fontId="5" fillId="10" borderId="33" xfId="0" applyFont="1" applyFill="1" applyBorder="1" applyAlignment="1">
      <alignment horizontal="right"/>
    </xf>
    <xf numFmtId="165" fontId="8" fillId="10" borderId="24" xfId="0" applyNumberFormat="1" applyFont="1" applyFill="1" applyBorder="1"/>
    <xf numFmtId="0" fontId="5" fillId="10" borderId="31" xfId="0" applyFont="1" applyFill="1" applyBorder="1"/>
    <xf numFmtId="0" fontId="5" fillId="0" borderId="33" xfId="0" applyFont="1" applyBorder="1" applyAlignment="1">
      <alignment horizontal="right"/>
    </xf>
    <xf numFmtId="165" fontId="5" fillId="0" borderId="24" xfId="0" applyNumberFormat="1" applyFont="1" applyBorder="1"/>
    <xf numFmtId="0" fontId="5" fillId="0" borderId="33" xfId="0" applyFont="1" applyBorder="1"/>
    <xf numFmtId="0" fontId="5" fillId="0" borderId="24" xfId="0" applyFont="1" applyBorder="1"/>
    <xf numFmtId="0" fontId="5" fillId="0" borderId="28" xfId="0" applyFont="1" applyBorder="1"/>
    <xf numFmtId="168" fontId="22" fillId="0" borderId="24" xfId="0" applyNumberFormat="1" applyFont="1" applyBorder="1"/>
    <xf numFmtId="0" fontId="19" fillId="0" borderId="42" xfId="0" applyFont="1" applyBorder="1" applyAlignment="1">
      <alignment horizontal="right"/>
    </xf>
    <xf numFmtId="0" fontId="19" fillId="0" borderId="43" xfId="0" applyFont="1" applyBorder="1"/>
    <xf numFmtId="0" fontId="21" fillId="9" borderId="44" xfId="0" applyFont="1" applyFill="1" applyBorder="1"/>
    <xf numFmtId="0" fontId="21" fillId="9" borderId="45" xfId="0" applyFont="1" applyFill="1" applyBorder="1" applyAlignment="1">
      <alignment horizontal="right"/>
    </xf>
    <xf numFmtId="0" fontId="21" fillId="9" borderId="46" xfId="0" applyFont="1" applyFill="1" applyBorder="1"/>
    <xf numFmtId="0" fontId="19" fillId="11" borderId="33" xfId="0" applyFont="1" applyFill="1" applyBorder="1" applyAlignment="1">
      <alignment horizontal="right"/>
    </xf>
    <xf numFmtId="168" fontId="11" fillId="11" borderId="24" xfId="0" applyNumberFormat="1" applyFont="1" applyFill="1" applyBorder="1"/>
    <xf numFmtId="0" fontId="5" fillId="11" borderId="31" xfId="0" applyFont="1" applyFill="1" applyBorder="1"/>
    <xf numFmtId="0" fontId="19" fillId="11" borderId="42" xfId="0" applyFont="1" applyFill="1" applyBorder="1" applyAlignment="1">
      <alignment horizontal="right"/>
    </xf>
    <xf numFmtId="0" fontId="19" fillId="11" borderId="47" xfId="0" applyFont="1" applyFill="1" applyBorder="1"/>
    <xf numFmtId="0" fontId="0" fillId="0" borderId="48" xfId="0" applyBorder="1"/>
    <xf numFmtId="0" fontId="5" fillId="0" borderId="17" xfId="0" applyFont="1" applyBorder="1"/>
    <xf numFmtId="0" fontId="8" fillId="0" borderId="22" xfId="0" applyFont="1" applyBorder="1" applyAlignment="1">
      <alignment horizontal="left"/>
    </xf>
    <xf numFmtId="0" fontId="5" fillId="0" borderId="22" xfId="0" applyFont="1" applyBorder="1"/>
    <xf numFmtId="168" fontId="5" fillId="0" borderId="34" xfId="0" applyNumberFormat="1" applyFont="1" applyBorder="1"/>
    <xf numFmtId="0" fontId="8" fillId="0" borderId="0" xfId="0" applyFont="1" applyBorder="1" applyAlignment="1">
      <alignment horizontal="left"/>
    </xf>
    <xf numFmtId="0" fontId="5" fillId="0" borderId="0" xfId="0" applyFont="1" applyBorder="1"/>
    <xf numFmtId="0" fontId="0" fillId="0" borderId="20" xfId="0" applyBorder="1"/>
    <xf numFmtId="0" fontId="8" fillId="4" borderId="36" xfId="0" applyFont="1" applyFill="1" applyBorder="1"/>
    <xf numFmtId="0" fontId="17" fillId="7" borderId="52" xfId="0" applyFont="1" applyFill="1" applyBorder="1"/>
    <xf numFmtId="0" fontId="9" fillId="4" borderId="25" xfId="0" applyFont="1" applyFill="1" applyBorder="1"/>
    <xf numFmtId="0" fontId="0" fillId="0" borderId="53" xfId="0" applyBorder="1"/>
    <xf numFmtId="0" fontId="0" fillId="0" borderId="54" xfId="0" applyBorder="1"/>
    <xf numFmtId="0" fontId="19" fillId="0" borderId="17" xfId="0" applyFont="1" applyBorder="1"/>
    <xf numFmtId="0" fontId="19" fillId="0" borderId="16" xfId="0" applyFont="1" applyBorder="1"/>
    <xf numFmtId="3" fontId="0" fillId="0" borderId="20" xfId="0" applyNumberFormat="1" applyBorder="1"/>
    <xf numFmtId="3" fontId="0" fillId="0" borderId="51" xfId="0" applyNumberFormat="1" applyBorder="1"/>
    <xf numFmtId="9" fontId="11" fillId="11" borderId="49" xfId="2" applyFont="1" applyFill="1" applyBorder="1" applyAlignment="1">
      <alignment horizontal="right"/>
    </xf>
    <xf numFmtId="0" fontId="2" fillId="7" borderId="39" xfId="0" applyFont="1" applyFill="1" applyBorder="1"/>
    <xf numFmtId="0" fontId="17" fillId="7" borderId="55" xfId="0" applyFont="1" applyFill="1" applyBorder="1"/>
    <xf numFmtId="0" fontId="17" fillId="7" borderId="56" xfId="0" applyFont="1" applyFill="1" applyBorder="1"/>
    <xf numFmtId="0" fontId="2" fillId="7" borderId="57" xfId="0" applyFont="1" applyFill="1" applyBorder="1"/>
    <xf numFmtId="0" fontId="8" fillId="4" borderId="58" xfId="0" applyFont="1" applyFill="1" applyBorder="1"/>
    <xf numFmtId="0" fontId="8" fillId="4" borderId="59" xfId="0" applyFont="1" applyFill="1" applyBorder="1"/>
    <xf numFmtId="0" fontId="8" fillId="4" borderId="48" xfId="0" applyFont="1" applyFill="1" applyBorder="1"/>
    <xf numFmtId="0" fontId="0" fillId="0" borderId="58" xfId="0" applyBorder="1"/>
    <xf numFmtId="0" fontId="0" fillId="0" borderId="59" xfId="0" applyBorder="1"/>
    <xf numFmtId="0" fontId="0" fillId="0" borderId="27" xfId="0" applyBorder="1"/>
    <xf numFmtId="0" fontId="0" fillId="0" borderId="60" xfId="0" applyBorder="1"/>
    <xf numFmtId="0" fontId="0" fillId="4" borderId="48" xfId="0" applyFill="1" applyBorder="1"/>
    <xf numFmtId="0" fontId="2" fillId="7" borderId="61" xfId="0" applyFont="1" applyFill="1" applyBorder="1"/>
    <xf numFmtId="0" fontId="2" fillId="7" borderId="62" xfId="0" applyFont="1" applyFill="1" applyBorder="1"/>
    <xf numFmtId="0" fontId="0" fillId="4" borderId="59" xfId="0" applyFill="1" applyBorder="1"/>
    <xf numFmtId="0" fontId="0" fillId="0" borderId="58" xfId="0" applyFill="1" applyBorder="1"/>
    <xf numFmtId="0" fontId="0" fillId="0" borderId="59" xfId="0" applyFill="1" applyBorder="1"/>
    <xf numFmtId="0" fontId="0" fillId="0" borderId="63" xfId="0" applyBorder="1"/>
    <xf numFmtId="0" fontId="0" fillId="0" borderId="65" xfId="0" applyBorder="1"/>
    <xf numFmtId="0" fontId="2" fillId="7" borderId="40" xfId="0" applyFont="1" applyFill="1" applyBorder="1"/>
    <xf numFmtId="0" fontId="0" fillId="0" borderId="58" xfId="0" applyFont="1" applyBorder="1"/>
    <xf numFmtId="0" fontId="0" fillId="0" borderId="66" xfId="0" applyBorder="1"/>
    <xf numFmtId="0" fontId="0" fillId="0" borderId="63" xfId="0" applyFill="1" applyBorder="1"/>
    <xf numFmtId="0" fontId="0" fillId="0" borderId="50" xfId="0" applyBorder="1"/>
    <xf numFmtId="0" fontId="0" fillId="0" borderId="67" xfId="0" applyFont="1" applyBorder="1"/>
    <xf numFmtId="0" fontId="18" fillId="4" borderId="0" xfId="0" applyFont="1" applyFill="1" applyBorder="1" applyAlignment="1"/>
    <xf numFmtId="0" fontId="18" fillId="3" borderId="1" xfId="0" applyFont="1" applyFill="1" applyBorder="1" applyAlignment="1"/>
    <xf numFmtId="0" fontId="18" fillId="3" borderId="2" xfId="0" applyFont="1" applyFill="1" applyBorder="1" applyAlignment="1"/>
    <xf numFmtId="0" fontId="18" fillId="3" borderId="3" xfId="0" applyFont="1" applyFill="1" applyBorder="1" applyAlignment="1"/>
    <xf numFmtId="0" fontId="8" fillId="4" borderId="53" xfId="0" applyFont="1" applyFill="1" applyBorder="1"/>
    <xf numFmtId="0" fontId="0" fillId="4" borderId="68" xfId="0" applyFill="1" applyBorder="1"/>
    <xf numFmtId="0" fontId="8" fillId="4" borderId="36" xfId="0" applyFont="1" applyFill="1" applyBorder="1" applyAlignment="1">
      <alignment horizontal="right"/>
    </xf>
    <xf numFmtId="0" fontId="0" fillId="4" borderId="65" xfId="0" applyFill="1" applyBorder="1"/>
    <xf numFmtId="0" fontId="9" fillId="4" borderId="53" xfId="0" applyFont="1" applyFill="1" applyBorder="1"/>
    <xf numFmtId="0" fontId="0" fillId="4" borderId="64" xfId="0" applyFill="1" applyBorder="1"/>
    <xf numFmtId="0" fontId="2" fillId="7" borderId="1" xfId="0" applyFont="1" applyFill="1" applyBorder="1"/>
    <xf numFmtId="0" fontId="17" fillId="7" borderId="70" xfId="0" applyFont="1" applyFill="1" applyBorder="1"/>
    <xf numFmtId="0" fontId="17" fillId="7" borderId="69" xfId="0" applyFont="1" applyFill="1" applyBorder="1"/>
    <xf numFmtId="0" fontId="2" fillId="7" borderId="71" xfId="0" applyFont="1" applyFill="1" applyBorder="1"/>
    <xf numFmtId="0" fontId="8" fillId="4" borderId="0" xfId="0" applyFont="1" applyFill="1" applyBorder="1"/>
    <xf numFmtId="0" fontId="8" fillId="4" borderId="27" xfId="0" applyFont="1" applyFill="1" applyBorder="1"/>
    <xf numFmtId="0" fontId="8" fillId="4" borderId="60" xfId="0" applyFont="1" applyFill="1" applyBorder="1"/>
    <xf numFmtId="166" fontId="8" fillId="4" borderId="10" xfId="1" applyNumberFormat="1" applyFont="1" applyFill="1" applyBorder="1"/>
    <xf numFmtId="0" fontId="23" fillId="4" borderId="72" xfId="0" applyFont="1" applyFill="1" applyBorder="1" applyAlignment="1">
      <alignment horizontal="left" vertical="center"/>
    </xf>
    <xf numFmtId="0" fontId="0" fillId="4" borderId="73" xfId="0" applyFont="1" applyFill="1" applyBorder="1" applyAlignment="1">
      <alignment vertical="center"/>
    </xf>
    <xf numFmtId="0" fontId="23" fillId="4" borderId="27" xfId="0" applyFont="1" applyFill="1" applyBorder="1" applyAlignment="1">
      <alignment horizontal="left" vertical="center"/>
    </xf>
    <xf numFmtId="0" fontId="0" fillId="4" borderId="60" xfId="0" applyFont="1" applyFill="1" applyBorder="1" applyAlignment="1">
      <alignment horizontal="left" vertical="center"/>
    </xf>
    <xf numFmtId="0" fontId="9" fillId="5" borderId="30" xfId="0" applyFont="1" applyFill="1" applyBorder="1" applyProtection="1">
      <protection locked="0"/>
    </xf>
    <xf numFmtId="0" fontId="9" fillId="5" borderId="30" xfId="0" applyFont="1" applyFill="1" applyBorder="1" applyAlignment="1" applyProtection="1">
      <alignment horizontal="right"/>
      <protection locked="0"/>
    </xf>
    <xf numFmtId="166" fontId="9" fillId="5" borderId="30" xfId="1" applyNumberFormat="1" applyFont="1" applyFill="1" applyBorder="1" applyProtection="1">
      <protection locked="0"/>
    </xf>
    <xf numFmtId="166" fontId="9" fillId="5" borderId="30" xfId="0" applyNumberFormat="1" applyFont="1" applyFill="1" applyBorder="1" applyProtection="1">
      <protection locked="0"/>
    </xf>
    <xf numFmtId="9" fontId="9" fillId="5" borderId="30" xfId="0" applyNumberFormat="1" applyFont="1" applyFill="1" applyBorder="1" applyProtection="1">
      <protection locked="0"/>
    </xf>
    <xf numFmtId="1" fontId="9" fillId="5" borderId="30" xfId="0" applyNumberFormat="1" applyFont="1" applyFill="1" applyBorder="1" applyProtection="1">
      <protection locked="0"/>
    </xf>
    <xf numFmtId="9" fontId="0" fillId="0" borderId="0" xfId="2" applyFont="1"/>
    <xf numFmtId="0" fontId="0" fillId="0" borderId="65" xfId="0" applyFill="1" applyBorder="1"/>
    <xf numFmtId="9" fontId="9" fillId="4" borderId="75" xfId="0" applyNumberFormat="1" applyFont="1" applyFill="1" applyBorder="1" applyProtection="1">
      <protection locked="0"/>
    </xf>
    <xf numFmtId="0" fontId="9" fillId="5" borderId="30" xfId="0" applyNumberFormat="1" applyFont="1" applyFill="1" applyBorder="1" applyProtection="1">
      <protection locked="0"/>
    </xf>
    <xf numFmtId="0" fontId="4" fillId="4" borderId="24" xfId="0" applyFont="1" applyFill="1" applyBorder="1"/>
    <xf numFmtId="166" fontId="8" fillId="4" borderId="25" xfId="0" applyNumberFormat="1" applyFont="1" applyFill="1" applyBorder="1"/>
    <xf numFmtId="167" fontId="8" fillId="4" borderId="25" xfId="1" applyNumberFormat="1" applyFont="1" applyFill="1" applyBorder="1"/>
    <xf numFmtId="166" fontId="10" fillId="4" borderId="10" xfId="0" applyNumberFormat="1" applyFont="1" applyFill="1" applyBorder="1"/>
    <xf numFmtId="0" fontId="0" fillId="0" borderId="76" xfId="0" applyBorder="1"/>
    <xf numFmtId="0" fontId="0" fillId="0" borderId="68" xfId="0" applyBorder="1"/>
    <xf numFmtId="9" fontId="9" fillId="5" borderId="30" xfId="2" applyFont="1" applyFill="1" applyBorder="1" applyProtection="1">
      <protection locked="0"/>
    </xf>
    <xf numFmtId="0" fontId="0" fillId="0" borderId="67" xfId="0" applyBorder="1"/>
    <xf numFmtId="166" fontId="0" fillId="4" borderId="0" xfId="0" applyNumberFormat="1" applyFill="1"/>
    <xf numFmtId="0" fontId="0" fillId="0" borderId="32" xfId="0" applyBorder="1"/>
    <xf numFmtId="2" fontId="16" fillId="8" borderId="30" xfId="0" applyNumberFormat="1" applyFont="1" applyFill="1" applyBorder="1"/>
    <xf numFmtId="168" fontId="8" fillId="0" borderId="24" xfId="0" applyNumberFormat="1" applyFont="1" applyBorder="1"/>
    <xf numFmtId="0" fontId="19" fillId="0" borderId="18" xfId="0" applyFont="1" applyBorder="1"/>
    <xf numFmtId="168" fontId="5" fillId="0" borderId="0" xfId="0" applyNumberFormat="1" applyFont="1" applyBorder="1"/>
    <xf numFmtId="0" fontId="5" fillId="0" borderId="22" xfId="0" applyFont="1" applyFill="1" applyBorder="1"/>
    <xf numFmtId="169" fontId="0" fillId="0" borderId="0" xfId="1" applyNumberFormat="1" applyFont="1" applyBorder="1"/>
    <xf numFmtId="169" fontId="0" fillId="0" borderId="34" xfId="1" applyNumberFormat="1" applyFont="1" applyBorder="1"/>
    <xf numFmtId="0" fontId="0" fillId="0" borderId="19" xfId="0" applyBorder="1"/>
    <xf numFmtId="0" fontId="0" fillId="0" borderId="12" xfId="0" applyBorder="1"/>
    <xf numFmtId="166" fontId="8" fillId="4" borderId="14" xfId="1" applyNumberFormat="1" applyFont="1" applyFill="1" applyBorder="1"/>
    <xf numFmtId="0" fontId="0" fillId="0" borderId="77" xfId="0" applyBorder="1"/>
    <xf numFmtId="167" fontId="9" fillId="5" borderId="30" xfId="1" applyNumberFormat="1" applyFont="1" applyFill="1" applyBorder="1" applyProtection="1">
      <protection locked="0"/>
    </xf>
    <xf numFmtId="0" fontId="3" fillId="0" borderId="1" xfId="0" applyFont="1" applyBorder="1"/>
    <xf numFmtId="0" fontId="0" fillId="0" borderId="30" xfId="0" applyBorder="1"/>
    <xf numFmtId="0" fontId="23" fillId="4" borderId="74" xfId="0" applyFont="1" applyFill="1" applyBorder="1" applyAlignment="1">
      <alignment horizontal="left" vertical="center"/>
    </xf>
    <xf numFmtId="0" fontId="16" fillId="4" borderId="69" xfId="0" applyFont="1" applyFill="1" applyBorder="1"/>
    <xf numFmtId="9" fontId="16" fillId="4" borderId="25" xfId="0" applyNumberFormat="1" applyFont="1" applyFill="1" applyBorder="1"/>
    <xf numFmtId="0" fontId="16" fillId="4" borderId="25" xfId="0" applyFont="1" applyFill="1" applyBorder="1"/>
    <xf numFmtId="0" fontId="16" fillId="4" borderId="0" xfId="0" applyFont="1" applyFill="1" applyBorder="1"/>
    <xf numFmtId="168" fontId="11" fillId="0" borderId="49" xfId="0" applyNumberFormat="1" applyFont="1" applyBorder="1"/>
    <xf numFmtId="0" fontId="0" fillId="4" borderId="60" xfId="0" applyFont="1" applyFill="1" applyBorder="1" applyAlignment="1">
      <alignment vertical="center" wrapText="1"/>
    </xf>
    <xf numFmtId="0" fontId="0" fillId="0" borderId="47" xfId="0" applyBorder="1" applyAlignment="1">
      <alignment vertical="center" wrapText="1"/>
    </xf>
    <xf numFmtId="0" fontId="8" fillId="10" borderId="0" xfId="0" applyFont="1" applyFill="1" applyBorder="1"/>
    <xf numFmtId="0" fontId="0" fillId="0" borderId="0" xfId="0" applyFill="1" applyBorder="1"/>
    <xf numFmtId="166" fontId="9" fillId="5" borderId="30" xfId="2" applyNumberFormat="1" applyFont="1" applyFill="1" applyBorder="1" applyProtection="1">
      <protection locked="0"/>
    </xf>
    <xf numFmtId="0" fontId="8" fillId="10" borderId="8" xfId="0" applyFont="1" applyFill="1" applyBorder="1"/>
    <xf numFmtId="167" fontId="0" fillId="0" borderId="0" xfId="0" applyNumberFormat="1"/>
    <xf numFmtId="0" fontId="5" fillId="0" borderId="78" xfId="0" applyFont="1" applyBorder="1" applyAlignment="1">
      <alignment horizontal="right"/>
    </xf>
    <xf numFmtId="168" fontId="8" fillId="0" borderId="79" xfId="0" applyNumberFormat="1" applyFont="1" applyBorder="1"/>
    <xf numFmtId="0" fontId="0" fillId="0" borderId="36" xfId="0" applyBorder="1" applyAlignment="1">
      <alignment horizontal="right"/>
    </xf>
    <xf numFmtId="9" fontId="25" fillId="4" borderId="2" xfId="0" applyNumberFormat="1" applyFont="1" applyFill="1" applyBorder="1" applyProtection="1"/>
    <xf numFmtId="9" fontId="25" fillId="4" borderId="2" xfId="2" applyFont="1" applyFill="1" applyBorder="1" applyProtection="1"/>
    <xf numFmtId="166" fontId="25" fillId="4" borderId="2" xfId="0" applyNumberFormat="1" applyFont="1" applyFill="1" applyBorder="1" applyProtection="1"/>
    <xf numFmtId="0" fontId="8" fillId="4" borderId="49" xfId="0" applyFont="1" applyFill="1" applyBorder="1" applyProtection="1"/>
    <xf numFmtId="9" fontId="16" fillId="4" borderId="10" xfId="0" applyNumberFormat="1" applyFont="1" applyFill="1" applyBorder="1"/>
    <xf numFmtId="0" fontId="16" fillId="4" borderId="49" xfId="0" applyFont="1" applyFill="1" applyBorder="1"/>
  </cellXfs>
  <cellStyles count="53">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showGridLines="0" tabSelected="1" workbookViewId="0">
      <selection activeCell="C6" sqref="C6"/>
    </sheetView>
  </sheetViews>
  <sheetFormatPr defaultColWidth="11" defaultRowHeight="15.75" x14ac:dyDescent="0.25"/>
  <cols>
    <col min="1" max="1" width="3" customWidth="1"/>
    <col min="2" max="2" width="50.5" customWidth="1"/>
    <col min="3" max="3" width="111.125" customWidth="1"/>
  </cols>
  <sheetData>
    <row r="1" spans="2:3" ht="16.5" thickBot="1" x14ac:dyDescent="0.3"/>
    <row r="2" spans="2:3" ht="41.1" customHeight="1" x14ac:dyDescent="0.25">
      <c r="B2" s="164" t="s">
        <v>10</v>
      </c>
      <c r="C2" s="165" t="s">
        <v>204</v>
      </c>
    </row>
    <row r="3" spans="2:3" ht="41.1" customHeight="1" x14ac:dyDescent="0.25">
      <c r="B3" s="166" t="s">
        <v>11</v>
      </c>
      <c r="C3" s="167" t="s">
        <v>158</v>
      </c>
    </row>
    <row r="4" spans="2:3" ht="35.1" customHeight="1" x14ac:dyDescent="0.25">
      <c r="B4" s="166" t="s">
        <v>12</v>
      </c>
      <c r="C4" s="2" t="s">
        <v>159</v>
      </c>
    </row>
    <row r="5" spans="2:3" ht="123" customHeight="1" x14ac:dyDescent="0.25">
      <c r="B5" s="166" t="s">
        <v>13</v>
      </c>
      <c r="C5" s="1" t="s">
        <v>167</v>
      </c>
    </row>
    <row r="6" spans="2:3" ht="102.95" customHeight="1" x14ac:dyDescent="0.25">
      <c r="B6" s="166" t="s">
        <v>14</v>
      </c>
      <c r="C6" s="208" t="s">
        <v>168</v>
      </c>
    </row>
    <row r="7" spans="2:3" ht="48" customHeight="1" thickBot="1" x14ac:dyDescent="0.3">
      <c r="B7" s="202" t="s">
        <v>171</v>
      </c>
      <c r="C7" s="209" t="s">
        <v>201</v>
      </c>
    </row>
  </sheetData>
  <sheetProtection password="E16B" sheet="1" objects="1" scenarios="1"/>
  <phoneticPr fontId="24" type="noConversion"/>
  <dataValidations xWindow="1083" yWindow="416" count="1">
    <dataValidation allowBlank="1" showErrorMessage="1" sqref="E5:E6"/>
  </dataValidation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B1:J178"/>
  <sheetViews>
    <sheetView showGridLines="0" workbookViewId="0">
      <selection activeCell="D22" sqref="D22"/>
    </sheetView>
  </sheetViews>
  <sheetFormatPr defaultColWidth="11" defaultRowHeight="15.75" x14ac:dyDescent="0.25"/>
  <cols>
    <col min="1" max="1" width="4" customWidth="1"/>
    <col min="2" max="2" width="38.875" customWidth="1"/>
    <col min="4" max="4" width="31.625" customWidth="1"/>
    <col min="5" max="5" width="35.5" customWidth="1"/>
    <col min="6" max="6" width="13.875" bestFit="1" customWidth="1"/>
    <col min="7" max="7" width="30.625" customWidth="1"/>
    <col min="8" max="8" width="9.875" customWidth="1"/>
    <col min="9" max="9" width="18.375" customWidth="1"/>
    <col min="10" max="10" width="25.125" customWidth="1"/>
  </cols>
  <sheetData>
    <row r="1" spans="2:10" ht="16.5" thickBot="1" x14ac:dyDescent="0.3"/>
    <row r="2" spans="2:10" ht="16.5" thickBot="1" x14ac:dyDescent="0.3">
      <c r="B2" s="200" t="s">
        <v>59</v>
      </c>
      <c r="C2" s="60"/>
      <c r="D2" s="169" t="s">
        <v>156</v>
      </c>
      <c r="E2" s="201" t="s">
        <v>0</v>
      </c>
    </row>
    <row r="3" spans="2:10" ht="16.5" thickBot="1" x14ac:dyDescent="0.3"/>
    <row r="4" spans="2:10" ht="24" thickBot="1" x14ac:dyDescent="0.4">
      <c r="B4" s="147" t="s">
        <v>15</v>
      </c>
      <c r="C4" s="148"/>
      <c r="D4" s="148"/>
      <c r="E4" s="149"/>
      <c r="F4" s="146"/>
      <c r="H4" s="146"/>
      <c r="I4" s="146"/>
      <c r="J4" s="146"/>
    </row>
    <row r="5" spans="2:10" ht="16.5" thickBot="1" x14ac:dyDescent="0.3">
      <c r="B5" s="121" t="s">
        <v>16</v>
      </c>
      <c r="C5" s="122"/>
      <c r="D5" s="123"/>
      <c r="E5" s="124" t="s">
        <v>59</v>
      </c>
    </row>
    <row r="6" spans="2:10" ht="16.5" thickBot="1" x14ac:dyDescent="0.3">
      <c r="B6" s="125" t="s">
        <v>79</v>
      </c>
      <c r="C6" s="111"/>
      <c r="D6" s="168"/>
      <c r="E6" s="126" t="s">
        <v>80</v>
      </c>
    </row>
    <row r="7" spans="2:10" ht="16.5" thickBot="1" x14ac:dyDescent="0.3">
      <c r="B7" s="125" t="s">
        <v>81</v>
      </c>
      <c r="C7" s="111"/>
      <c r="D7" s="168"/>
      <c r="E7" s="126" t="s">
        <v>80</v>
      </c>
    </row>
    <row r="8" spans="2:10" x14ac:dyDescent="0.25">
      <c r="B8" s="125" t="s">
        <v>83</v>
      </c>
      <c r="C8" s="12"/>
      <c r="D8" s="150">
        <f>D6+D7</f>
        <v>0</v>
      </c>
      <c r="E8" s="127" t="s">
        <v>80</v>
      </c>
    </row>
    <row r="9" spans="2:10" ht="16.5" thickBot="1" x14ac:dyDescent="0.3">
      <c r="B9" s="125" t="s">
        <v>84</v>
      </c>
      <c r="C9" s="111"/>
      <c r="D9" s="221">
        <f>D8+1</f>
        <v>1</v>
      </c>
      <c r="E9" s="126" t="s">
        <v>80</v>
      </c>
    </row>
    <row r="10" spans="2:10" ht="16.5" thickBot="1" x14ac:dyDescent="0.3">
      <c r="B10" s="125" t="s">
        <v>85</v>
      </c>
      <c r="C10" s="111"/>
      <c r="D10" s="168"/>
      <c r="E10" s="126" t="s">
        <v>86</v>
      </c>
      <c r="H10" s="174"/>
    </row>
    <row r="11" spans="2:10" ht="16.5" thickBot="1" x14ac:dyDescent="0.3">
      <c r="B11" s="125" t="s">
        <v>133</v>
      </c>
      <c r="C11" s="111"/>
      <c r="D11" s="168"/>
      <c r="E11" s="126" t="str">
        <f>IF(D2="Metric","Tonne/Day","Ton/Day")</f>
        <v>Ton/Day</v>
      </c>
      <c r="H11" s="174"/>
    </row>
    <row r="12" spans="2:10" ht="16.5" thickBot="1" x14ac:dyDescent="0.3">
      <c r="B12" s="125" t="s">
        <v>172</v>
      </c>
      <c r="C12" s="111"/>
      <c r="D12" s="168"/>
      <c r="E12" s="126" t="str">
        <f>IF(D2="Metric","Tonne/Day","Ton/Day")</f>
        <v>Ton/Day</v>
      </c>
      <c r="H12" s="174"/>
    </row>
    <row r="13" spans="2:10" ht="16.5" thickBot="1" x14ac:dyDescent="0.3">
      <c r="B13" s="125" t="s">
        <v>202</v>
      </c>
      <c r="C13" s="111"/>
      <c r="D13" s="184"/>
      <c r="E13" s="126" t="s">
        <v>127</v>
      </c>
      <c r="H13" s="174"/>
    </row>
    <row r="14" spans="2:10" ht="16.5" thickBot="1" x14ac:dyDescent="0.3">
      <c r="B14" s="125" t="s">
        <v>173</v>
      </c>
      <c r="C14" s="111"/>
      <c r="D14" s="184"/>
      <c r="E14" s="126" t="s">
        <v>127</v>
      </c>
      <c r="H14" s="174"/>
    </row>
    <row r="15" spans="2:10" ht="16.5" thickBot="1" x14ac:dyDescent="0.3">
      <c r="B15" s="125" t="s">
        <v>174</v>
      </c>
      <c r="C15" s="111"/>
      <c r="D15" s="184"/>
      <c r="E15" s="126" t="s">
        <v>127</v>
      </c>
      <c r="H15" s="174"/>
    </row>
    <row r="16" spans="2:10" ht="16.5" thickBot="1" x14ac:dyDescent="0.3">
      <c r="B16" s="125" t="s">
        <v>175</v>
      </c>
      <c r="C16" s="111"/>
      <c r="D16" s="184"/>
      <c r="E16" s="126" t="s">
        <v>127</v>
      </c>
      <c r="H16" s="174"/>
    </row>
    <row r="17" spans="2:8" ht="16.5" thickBot="1" x14ac:dyDescent="0.3">
      <c r="B17" s="125"/>
      <c r="C17" s="152" t="s">
        <v>98</v>
      </c>
      <c r="D17" s="219" t="str">
        <f>IF(SUM(D13:D16)=100%,"OK","Error-Account for 100% of Feedstock")</f>
        <v>Error-Account for 100% of Feedstock</v>
      </c>
      <c r="E17" s="126"/>
      <c r="H17" s="174"/>
    </row>
    <row r="18" spans="2:8" ht="16.5" thickBot="1" x14ac:dyDescent="0.3">
      <c r="B18" s="128" t="s">
        <v>169</v>
      </c>
      <c r="C18" s="72"/>
      <c r="D18" s="168"/>
      <c r="E18" s="129" t="s">
        <v>170</v>
      </c>
    </row>
    <row r="19" spans="2:8" ht="16.5" thickBot="1" x14ac:dyDescent="0.3">
      <c r="B19" s="128" t="s">
        <v>181</v>
      </c>
      <c r="C19" s="72"/>
      <c r="D19" s="172"/>
      <c r="E19" s="129" t="s">
        <v>203</v>
      </c>
    </row>
    <row r="20" spans="2:8" ht="16.5" thickBot="1" x14ac:dyDescent="0.3">
      <c r="B20" s="128" t="s">
        <v>199</v>
      </c>
      <c r="C20" s="72"/>
      <c r="D20" s="184"/>
      <c r="E20" s="129" t="s">
        <v>198</v>
      </c>
    </row>
    <row r="21" spans="2:8" ht="16.5" thickBot="1" x14ac:dyDescent="0.3">
      <c r="B21" s="128" t="s">
        <v>200</v>
      </c>
      <c r="C21" s="72"/>
      <c r="D21" s="184"/>
      <c r="E21" s="129" t="s">
        <v>198</v>
      </c>
    </row>
    <row r="22" spans="2:8" ht="16.5" thickBot="1" x14ac:dyDescent="0.3">
      <c r="B22" s="128"/>
      <c r="C22" s="217" t="s">
        <v>98</v>
      </c>
      <c r="D22" s="218" t="str">
        <f>IF(SUM(D20:D21)=100%,"OK","Error-Account for 100% of Processing Residues")</f>
        <v>Error-Account for 100% of Processing Residues</v>
      </c>
      <c r="E22" s="129"/>
    </row>
    <row r="23" spans="2:8" ht="16.5" thickBot="1" x14ac:dyDescent="0.3">
      <c r="B23" s="128" t="s">
        <v>163</v>
      </c>
      <c r="C23" s="72"/>
      <c r="D23" s="199"/>
      <c r="E23" s="129" t="str">
        <f>IF(D2="Metric","m2","ft2")</f>
        <v>ft2</v>
      </c>
    </row>
    <row r="24" spans="2:8" x14ac:dyDescent="0.25">
      <c r="B24" s="128"/>
      <c r="C24" s="72"/>
      <c r="D24" s="176"/>
      <c r="E24" s="129"/>
    </row>
    <row r="25" spans="2:8" ht="16.5" thickBot="1" x14ac:dyDescent="0.3">
      <c r="B25" s="133" t="s">
        <v>134</v>
      </c>
      <c r="C25" s="73"/>
      <c r="D25" s="112"/>
      <c r="E25" s="134" t="s">
        <v>59</v>
      </c>
    </row>
    <row r="26" spans="2:8" ht="16.5" thickBot="1" x14ac:dyDescent="0.3">
      <c r="B26" s="128" t="s">
        <v>126</v>
      </c>
      <c r="C26" s="72"/>
      <c r="D26" s="177"/>
      <c r="E26" s="129" t="str">
        <f>IF(D2="Metric","kWh/Tonne","kWh/Ton")</f>
        <v>kWh/Ton</v>
      </c>
    </row>
    <row r="27" spans="2:8" ht="16.5" thickBot="1" x14ac:dyDescent="0.3">
      <c r="B27" s="128" t="s">
        <v>128</v>
      </c>
      <c r="C27" s="72"/>
      <c r="D27" s="177"/>
      <c r="E27" s="129" t="str">
        <f>IF(D2="Metric","m3/Tonne","ft3/Ton")</f>
        <v>ft3/Ton</v>
      </c>
    </row>
    <row r="28" spans="2:8" ht="16.5" thickBot="1" x14ac:dyDescent="0.3">
      <c r="B28" s="128" t="s">
        <v>137</v>
      </c>
      <c r="C28" s="72"/>
      <c r="D28" s="177"/>
      <c r="E28" s="129" t="str">
        <f>IF(D2="Metric","Liters/Tonne","Gallons/Ton")</f>
        <v>Gallons/Ton</v>
      </c>
    </row>
    <row r="29" spans="2:8" ht="16.5" thickBot="1" x14ac:dyDescent="0.3">
      <c r="B29" s="128" t="s">
        <v>130</v>
      </c>
      <c r="C29" s="72"/>
      <c r="D29" s="177"/>
      <c r="E29" s="129" t="str">
        <f>IF(D2="Metric","kg/Tonne","lbs/Ton")</f>
        <v>lbs/Ton</v>
      </c>
    </row>
    <row r="30" spans="2:8" ht="16.5" thickBot="1" x14ac:dyDescent="0.3">
      <c r="B30" s="128" t="s">
        <v>129</v>
      </c>
      <c r="C30" s="72"/>
      <c r="D30" s="177"/>
      <c r="E30" s="129" t="s">
        <v>132</v>
      </c>
    </row>
    <row r="31" spans="2:8" ht="16.5" thickBot="1" x14ac:dyDescent="0.3">
      <c r="B31" s="128" t="s">
        <v>139</v>
      </c>
      <c r="C31" s="72"/>
      <c r="D31" s="177"/>
      <c r="E31" s="129" t="str">
        <f>IF(D2="Metric","Liters/Tonne","Gallons/Ton")</f>
        <v>Gallons/Ton</v>
      </c>
    </row>
    <row r="32" spans="2:8" ht="16.5" thickBot="1" x14ac:dyDescent="0.3">
      <c r="B32" s="128" t="s">
        <v>63</v>
      </c>
      <c r="C32" s="72"/>
      <c r="D32" s="177"/>
      <c r="E32" s="129" t="str">
        <f>IF(D2="Metric","Liters/Tonne","Gallons/Ton")</f>
        <v>Gallons/Ton</v>
      </c>
    </row>
    <row r="33" spans="2:6" ht="16.5" thickBot="1" x14ac:dyDescent="0.3">
      <c r="B33" s="128" t="s">
        <v>145</v>
      </c>
      <c r="C33" s="72"/>
      <c r="D33" s="177"/>
      <c r="E33" s="129" t="str">
        <f>IF(D2="Metric","Liters/Tonne","Gallons/Ton")</f>
        <v>Gallons/Ton</v>
      </c>
    </row>
    <row r="34" spans="2:6" ht="16.5" thickBot="1" x14ac:dyDescent="0.3">
      <c r="B34" s="128" t="s">
        <v>64</v>
      </c>
      <c r="C34" s="72"/>
      <c r="D34" s="177"/>
      <c r="E34" s="129" t="str">
        <f>IF(D2="Metric","Liters/Tonne","Gallons/Ton")</f>
        <v>Gallons/Ton</v>
      </c>
    </row>
    <row r="35" spans="2:6" x14ac:dyDescent="0.25">
      <c r="B35" s="128"/>
      <c r="C35" s="14"/>
      <c r="D35" s="113"/>
      <c r="E35" s="132"/>
    </row>
    <row r="36" spans="2:6" ht="16.5" thickBot="1" x14ac:dyDescent="0.3">
      <c r="B36" s="133" t="s">
        <v>135</v>
      </c>
      <c r="C36" s="73"/>
      <c r="D36" s="112"/>
      <c r="E36" s="134" t="s">
        <v>59</v>
      </c>
    </row>
    <row r="37" spans="2:6" s="36" customFormat="1" ht="16.5" thickBot="1" x14ac:dyDescent="0.3">
      <c r="B37" s="128" t="s">
        <v>125</v>
      </c>
      <c r="C37" s="72"/>
      <c r="D37" s="170"/>
      <c r="E37" s="129" t="s">
        <v>28</v>
      </c>
    </row>
    <row r="38" spans="2:6" s="36" customFormat="1" ht="16.5" thickBot="1" x14ac:dyDescent="0.3">
      <c r="B38" s="128" t="s">
        <v>124</v>
      </c>
      <c r="C38" s="72"/>
      <c r="D38" s="170"/>
      <c r="E38" s="129" t="s">
        <v>28</v>
      </c>
      <c r="F38" s="186"/>
    </row>
    <row r="39" spans="2:6" s="36" customFormat="1" ht="16.5" thickBot="1" x14ac:dyDescent="0.3">
      <c r="B39" s="128" t="s">
        <v>23</v>
      </c>
      <c r="C39" s="72"/>
      <c r="D39" s="170"/>
      <c r="E39" s="129" t="s">
        <v>28</v>
      </c>
      <c r="F39" s="186"/>
    </row>
    <row r="40" spans="2:6" ht="16.5" thickBot="1" x14ac:dyDescent="0.3">
      <c r="B40" s="128" t="s">
        <v>164</v>
      </c>
      <c r="C40" s="72"/>
      <c r="D40" s="170"/>
      <c r="E40" s="129" t="s">
        <v>28</v>
      </c>
    </row>
    <row r="41" spans="2:6" ht="16.5" thickBot="1" x14ac:dyDescent="0.3">
      <c r="B41" s="128" t="s">
        <v>165</v>
      </c>
      <c r="C41" s="72"/>
      <c r="D41" s="170"/>
      <c r="E41" s="129" t="str">
        <f>IF(D2="Metric","$/m2/year","$/ft2/year")</f>
        <v>$/ft2/year</v>
      </c>
    </row>
    <row r="42" spans="2:6" ht="16.5" thickBot="1" x14ac:dyDescent="0.3">
      <c r="B42" s="128"/>
      <c r="C42" s="152" t="s">
        <v>98</v>
      </c>
      <c r="D42" s="203" t="str">
        <f>IF(AND(D41&gt;0,D40=0),"OK",IF(AND(D40&gt;0,D41=0),"OK",IF(AND(D40&gt;0,D41&gt;0),"Error-Land/Building Purchase and Lease are both &gt; 0",IF(AND(D40=0,D41=0),"Confirm No Land/Building Purchase or Lease"))))</f>
        <v>Confirm No Land/Building Purchase or Lease</v>
      </c>
      <c r="E42" s="129"/>
    </row>
    <row r="43" spans="2:6" ht="16.5" thickBot="1" x14ac:dyDescent="0.3">
      <c r="B43" s="128" t="s">
        <v>18</v>
      </c>
      <c r="C43" s="72"/>
      <c r="D43" s="170"/>
      <c r="E43" s="129" t="s">
        <v>185</v>
      </c>
    </row>
    <row r="44" spans="2:6" ht="16.5" thickBot="1" x14ac:dyDescent="0.3">
      <c r="B44" s="128" t="s">
        <v>193</v>
      </c>
      <c r="C44" s="72"/>
      <c r="D44" s="171"/>
      <c r="E44" s="129" t="str">
        <f>IF(D2="Metric","$/Tonne","$/Ton")</f>
        <v>$/Ton</v>
      </c>
    </row>
    <row r="45" spans="2:6" ht="16.5" thickBot="1" x14ac:dyDescent="0.3">
      <c r="B45" s="128" t="s">
        <v>88</v>
      </c>
      <c r="C45" s="72"/>
      <c r="D45" s="171"/>
      <c r="E45" s="129" t="s">
        <v>89</v>
      </c>
    </row>
    <row r="46" spans="2:6" ht="16.5" thickBot="1" x14ac:dyDescent="0.3">
      <c r="B46" s="128" t="s">
        <v>90</v>
      </c>
      <c r="C46" s="72"/>
      <c r="D46" s="171"/>
      <c r="E46" s="129" t="str">
        <f>IF(D2="Metric","$/1,000 liters","$/1,000 gallons")</f>
        <v>$/1,000 gallons</v>
      </c>
    </row>
    <row r="47" spans="2:6" ht="16.5" thickBot="1" x14ac:dyDescent="0.3">
      <c r="B47" s="128" t="s">
        <v>182</v>
      </c>
      <c r="C47" s="72"/>
      <c r="D47" s="171"/>
      <c r="E47" s="129" t="str">
        <f>IF(D2="Metric","$/Tonne","$/Ton")</f>
        <v>$/Ton</v>
      </c>
    </row>
    <row r="48" spans="2:6" ht="16.5" thickBot="1" x14ac:dyDescent="0.3">
      <c r="B48" s="128" t="s">
        <v>3</v>
      </c>
      <c r="C48" s="72"/>
      <c r="D48" s="171"/>
      <c r="E48" s="129" t="str">
        <f>IF(D2="Metric","$/Tonne","$/Ton")</f>
        <v>$/Ton</v>
      </c>
    </row>
    <row r="49" spans="2:5" ht="16.5" thickBot="1" x14ac:dyDescent="0.3">
      <c r="B49" s="128"/>
      <c r="C49" s="217" t="s">
        <v>98</v>
      </c>
      <c r="D49" s="220" t="str">
        <f>IF(AND(D20&gt;0%,D48&gt;=0),"OK","Error- Confirm that Management Cost Corresponds with % Residues to Landfill")</f>
        <v>Error- Confirm that Management Cost Corresponds with % Residues to Landfill</v>
      </c>
      <c r="E49" s="129"/>
    </row>
    <row r="50" spans="2:5" ht="16.5" thickBot="1" x14ac:dyDescent="0.3">
      <c r="B50" s="128" t="s">
        <v>4</v>
      </c>
      <c r="C50" s="72"/>
      <c r="D50" s="171"/>
      <c r="E50" s="135" t="str">
        <f>IF(D2="Metric","$/Liter","$/Gallon")</f>
        <v>$/Gallon</v>
      </c>
    </row>
    <row r="51" spans="2:5" ht="16.5" thickBot="1" x14ac:dyDescent="0.3">
      <c r="B51" s="136" t="s">
        <v>5</v>
      </c>
      <c r="C51" s="72"/>
      <c r="D51" s="171"/>
      <c r="E51" s="137" t="str">
        <f>IF(D2="Metric","$/m3","$/ft3")</f>
        <v>$/ft3</v>
      </c>
    </row>
    <row r="52" spans="2:5" ht="16.5" thickBot="1" x14ac:dyDescent="0.3">
      <c r="B52" s="143" t="s">
        <v>131</v>
      </c>
      <c r="C52" s="115"/>
      <c r="D52" s="171"/>
      <c r="E52" s="175" t="str">
        <f>IF(D2="Metric","$/kg","$/lb")</f>
        <v>$/lb</v>
      </c>
    </row>
    <row r="53" spans="2:5" ht="16.5" thickBot="1" x14ac:dyDescent="0.3">
      <c r="B53" s="128" t="s">
        <v>75</v>
      </c>
      <c r="C53" s="14"/>
      <c r="D53" s="184"/>
      <c r="E53" s="185" t="s">
        <v>138</v>
      </c>
    </row>
    <row r="54" spans="2:5" ht="16.5" thickBot="1" x14ac:dyDescent="0.3">
      <c r="B54" s="128" t="s">
        <v>160</v>
      </c>
      <c r="C54" s="129"/>
      <c r="D54" s="184"/>
      <c r="E54" s="131" t="s">
        <v>140</v>
      </c>
    </row>
    <row r="55" spans="2:5" ht="16.5" thickBot="1" x14ac:dyDescent="0.3">
      <c r="B55" s="128" t="s">
        <v>161</v>
      </c>
      <c r="C55" s="129"/>
      <c r="D55" s="184"/>
      <c r="E55" s="185" t="s">
        <v>140</v>
      </c>
    </row>
    <row r="56" spans="2:5" ht="16.5" thickBot="1" x14ac:dyDescent="0.3">
      <c r="B56" s="130" t="s">
        <v>176</v>
      </c>
      <c r="C56" s="27"/>
      <c r="D56" s="212"/>
      <c r="E56" s="185" t="s">
        <v>87</v>
      </c>
    </row>
    <row r="57" spans="2:5" ht="16.5" thickBot="1" x14ac:dyDescent="0.3">
      <c r="B57" s="128" t="s">
        <v>177</v>
      </c>
      <c r="C57" s="129"/>
      <c r="D57" s="184"/>
      <c r="E57" s="185" t="s">
        <v>138</v>
      </c>
    </row>
    <row r="58" spans="2:5" x14ac:dyDescent="0.25">
      <c r="B58" s="130"/>
      <c r="C58" s="182"/>
      <c r="D58" s="114"/>
      <c r="E58" s="183"/>
    </row>
    <row r="59" spans="2:5" ht="16.5" thickBot="1" x14ac:dyDescent="0.3">
      <c r="B59" s="133" t="s">
        <v>136</v>
      </c>
      <c r="C59" s="73"/>
      <c r="D59" s="112"/>
      <c r="E59" s="134" t="s">
        <v>59</v>
      </c>
    </row>
    <row r="60" spans="2:5" ht="16.5" thickBot="1" x14ac:dyDescent="0.3">
      <c r="B60" s="128" t="s">
        <v>68</v>
      </c>
      <c r="C60" s="72"/>
      <c r="D60" s="171"/>
      <c r="E60" s="129" t="str">
        <f>IF(D2="Metric","$/Tonne","$/Ton")</f>
        <v>$/Ton</v>
      </c>
    </row>
    <row r="61" spans="2:5" ht="16.5" thickBot="1" x14ac:dyDescent="0.3">
      <c r="B61" s="128" t="s">
        <v>6</v>
      </c>
      <c r="C61" s="72"/>
      <c r="D61" s="171"/>
      <c r="E61" s="129" t="str">
        <f>IF(D2="Metric","$/Liter","$/Gallon")</f>
        <v>$/Gallon</v>
      </c>
    </row>
    <row r="62" spans="2:5" ht="16.5" thickBot="1" x14ac:dyDescent="0.3">
      <c r="B62" s="128" t="s">
        <v>60</v>
      </c>
      <c r="C62" s="72"/>
      <c r="D62" s="171"/>
      <c r="E62" s="129" t="str">
        <f>IF(D2="Metric","$/Liter","$/Gallon")</f>
        <v>$/Gallon</v>
      </c>
    </row>
    <row r="63" spans="2:5" ht="16.5" thickBot="1" x14ac:dyDescent="0.3">
      <c r="B63" s="128" t="s">
        <v>61</v>
      </c>
      <c r="C63" s="72"/>
      <c r="D63" s="171"/>
      <c r="E63" s="129" t="str">
        <f>IF(D2="Metric","$/Liter","$/Gallon")</f>
        <v>$/Gallon</v>
      </c>
    </row>
    <row r="64" spans="2:5" ht="16.5" thickBot="1" x14ac:dyDescent="0.3">
      <c r="B64" s="138" t="s">
        <v>62</v>
      </c>
      <c r="C64" s="115"/>
      <c r="D64" s="171"/>
      <c r="E64" s="139" t="str">
        <f>IF(D2="Metric","$/Liter","$/Gallon")</f>
        <v>$/Gallon</v>
      </c>
    </row>
    <row r="65" spans="2:5" ht="16.5" thickBot="1" x14ac:dyDescent="0.3">
      <c r="B65" s="143" t="s">
        <v>188</v>
      </c>
      <c r="C65" s="115"/>
      <c r="D65" s="171"/>
      <c r="E65" s="139" t="str">
        <f>IF(D2="Metric","$/Tonne","$/Ton")</f>
        <v>$/Ton</v>
      </c>
    </row>
    <row r="66" spans="2:5" ht="16.5" thickBot="1" x14ac:dyDescent="0.3">
      <c r="B66" s="143" t="s">
        <v>179</v>
      </c>
      <c r="C66" s="115"/>
      <c r="D66" s="171"/>
      <c r="E66" s="139" t="str">
        <f>IF(D2="Metric","$/Tonne","$/Ton")</f>
        <v>$/Ton</v>
      </c>
    </row>
    <row r="67" spans="2:5" ht="16.5" thickBot="1" x14ac:dyDescent="0.3">
      <c r="B67" s="143" t="s">
        <v>178</v>
      </c>
      <c r="C67" s="115"/>
      <c r="D67" s="171"/>
      <c r="E67" s="139" t="str">
        <f>IF(D2="Metric","$/Tonne","$/Ton")</f>
        <v>$/Ton</v>
      </c>
    </row>
    <row r="68" spans="2:5" x14ac:dyDescent="0.25">
      <c r="B68" s="128"/>
      <c r="C68" s="14"/>
      <c r="D68" s="113"/>
      <c r="E68" s="132"/>
    </row>
    <row r="69" spans="2:5" ht="16.5" thickBot="1" x14ac:dyDescent="0.3">
      <c r="B69" s="133" t="s">
        <v>20</v>
      </c>
      <c r="C69" s="73"/>
      <c r="D69" s="112"/>
      <c r="E69" s="134" t="s">
        <v>59</v>
      </c>
    </row>
    <row r="70" spans="2:5" ht="16.5" thickBot="1" x14ac:dyDescent="0.3">
      <c r="B70" s="128" t="s">
        <v>101</v>
      </c>
      <c r="C70" s="72"/>
      <c r="D70" s="172"/>
      <c r="E70" s="135" t="s">
        <v>95</v>
      </c>
    </row>
    <row r="71" spans="2:5" ht="16.5" thickBot="1" x14ac:dyDescent="0.3">
      <c r="B71" s="128" t="s">
        <v>162</v>
      </c>
      <c r="C71" s="72"/>
      <c r="D71" s="172"/>
      <c r="E71" s="135" t="s">
        <v>95</v>
      </c>
    </row>
    <row r="72" spans="2:5" ht="16.5" thickBot="1" x14ac:dyDescent="0.3">
      <c r="B72" s="128" t="s">
        <v>180</v>
      </c>
      <c r="C72" s="72"/>
      <c r="D72" s="172"/>
      <c r="E72" s="135" t="s">
        <v>95</v>
      </c>
    </row>
    <row r="73" spans="2:5" ht="16.5" thickBot="1" x14ac:dyDescent="0.3">
      <c r="B73" s="128" t="s">
        <v>102</v>
      </c>
      <c r="C73" s="72"/>
      <c r="D73" s="172"/>
      <c r="E73" s="135" t="s">
        <v>95</v>
      </c>
    </row>
    <row r="74" spans="2:5" ht="16.5" thickBot="1" x14ac:dyDescent="0.3">
      <c r="B74" s="143" t="s">
        <v>103</v>
      </c>
      <c r="C74" s="115"/>
      <c r="D74" s="172"/>
      <c r="E74" s="153" t="s">
        <v>95</v>
      </c>
    </row>
    <row r="75" spans="2:5" ht="16.5" thickBot="1" x14ac:dyDescent="0.3">
      <c r="B75" s="138"/>
      <c r="C75" s="19"/>
      <c r="D75" s="154"/>
      <c r="E75" s="155"/>
    </row>
    <row r="76" spans="2:5" ht="16.5" thickBot="1" x14ac:dyDescent="0.3">
      <c r="B76" s="156" t="s">
        <v>19</v>
      </c>
      <c r="C76" s="157"/>
      <c r="D76" s="158"/>
      <c r="E76" s="159" t="s">
        <v>59</v>
      </c>
    </row>
    <row r="77" spans="2:5" ht="16.5" thickBot="1" x14ac:dyDescent="0.3">
      <c r="B77" s="161" t="s">
        <v>7</v>
      </c>
      <c r="C77" s="160"/>
      <c r="D77" s="170"/>
      <c r="E77" s="162" t="s">
        <v>8</v>
      </c>
    </row>
    <row r="78" spans="2:5" ht="16.5" thickBot="1" x14ac:dyDescent="0.3">
      <c r="B78" s="128" t="s">
        <v>94</v>
      </c>
      <c r="C78" s="72"/>
      <c r="D78" s="172"/>
      <c r="E78" s="129" t="s">
        <v>95</v>
      </c>
    </row>
    <row r="79" spans="2:5" ht="16.5" thickBot="1" x14ac:dyDescent="0.3">
      <c r="B79" s="128" t="s">
        <v>96</v>
      </c>
      <c r="C79" s="72"/>
      <c r="D79" s="172"/>
      <c r="E79" s="129" t="s">
        <v>95</v>
      </c>
    </row>
    <row r="80" spans="2:5" ht="16.5" thickBot="1" x14ac:dyDescent="0.3">
      <c r="B80" s="128" t="s">
        <v>97</v>
      </c>
      <c r="C80" s="72"/>
      <c r="D80" s="173"/>
      <c r="E80" s="129" t="s">
        <v>86</v>
      </c>
    </row>
    <row r="81" spans="2:5" x14ac:dyDescent="0.25">
      <c r="B81" s="128"/>
      <c r="C81" s="18" t="s">
        <v>98</v>
      </c>
      <c r="D81" s="204" t="str">
        <f>IF(D78+D79=1,"OK","% Debt and % Equity Do Not Equal 100%")</f>
        <v>% Debt and % Equity Do Not Equal 100%</v>
      </c>
      <c r="E81" s="103"/>
    </row>
    <row r="82" spans="2:5" x14ac:dyDescent="0.25">
      <c r="B82" s="128"/>
      <c r="C82" s="18" t="s">
        <v>98</v>
      </c>
      <c r="D82" s="222" t="str">
        <f>IF(AND(D79&gt;=0%,D80&gt;0),"OK","Enter Value for % Equity OR Equity Payback")</f>
        <v>Enter Value for % Equity OR Equity Payback</v>
      </c>
      <c r="E82" s="103"/>
    </row>
    <row r="83" spans="2:5" ht="16.5" thickBot="1" x14ac:dyDescent="0.3">
      <c r="B83" s="128"/>
      <c r="C83" s="18" t="s">
        <v>98</v>
      </c>
      <c r="D83" s="205" t="str">
        <f>IF(D80&lt;=D10,"OK","Equity Payback is Greater Than Project Life")</f>
        <v>OK</v>
      </c>
      <c r="E83" s="132"/>
    </row>
    <row r="84" spans="2:5" ht="16.5" thickBot="1" x14ac:dyDescent="0.3">
      <c r="B84" s="128" t="s">
        <v>99</v>
      </c>
      <c r="C84" s="72"/>
      <c r="D84" s="172"/>
      <c r="E84" s="129" t="s">
        <v>95</v>
      </c>
    </row>
    <row r="85" spans="2:5" ht="16.5" thickBot="1" x14ac:dyDescent="0.3">
      <c r="B85" s="128" t="s">
        <v>100</v>
      </c>
      <c r="C85" s="72"/>
      <c r="D85" s="168"/>
      <c r="E85" s="135" t="s">
        <v>86</v>
      </c>
    </row>
    <row r="86" spans="2:5" x14ac:dyDescent="0.25">
      <c r="B86" s="130"/>
      <c r="C86" s="18" t="s">
        <v>98</v>
      </c>
      <c r="D86" s="206" t="str">
        <f>IF(AND(D78=0%,D85=0),"OK",IF(AND(D78&gt;0,D85&gt;0),"OK",IF(AND(D78&gt;0%,D85=0),"Enter Value for Debt Term")))</f>
        <v>OK</v>
      </c>
      <c r="E86" s="151"/>
    </row>
    <row r="87" spans="2:5" ht="16.5" thickBot="1" x14ac:dyDescent="0.3">
      <c r="B87" s="128"/>
      <c r="C87" s="18" t="s">
        <v>98</v>
      </c>
      <c r="D87" s="223" t="str">
        <f>IF(D85&lt;=D10,"OK","Debt Term is Greater Than Project Life")</f>
        <v>OK</v>
      </c>
      <c r="E87" s="132"/>
    </row>
    <row r="88" spans="2:5" ht="16.5" thickBot="1" x14ac:dyDescent="0.3">
      <c r="B88" s="121" t="s">
        <v>70</v>
      </c>
      <c r="C88" s="122"/>
      <c r="D88" s="140"/>
      <c r="E88" s="124" t="s">
        <v>59</v>
      </c>
    </row>
    <row r="89" spans="2:5" ht="16.5" thickBot="1" x14ac:dyDescent="0.3">
      <c r="B89" s="128" t="s">
        <v>72</v>
      </c>
      <c r="C89" s="72"/>
      <c r="D89" s="68">
        <v>42</v>
      </c>
      <c r="E89" s="129" t="s">
        <v>71</v>
      </c>
    </row>
    <row r="90" spans="2:5" ht="16.5" thickBot="1" x14ac:dyDescent="0.3">
      <c r="B90" s="141" t="s">
        <v>73</v>
      </c>
      <c r="C90" s="72"/>
      <c r="D90" s="188">
        <v>158.99</v>
      </c>
      <c r="E90" s="145" t="s">
        <v>74</v>
      </c>
    </row>
    <row r="91" spans="2:5" ht="16.5" thickBot="1" x14ac:dyDescent="0.3">
      <c r="B91" s="142"/>
      <c r="C91" s="74"/>
      <c r="D91" s="187"/>
      <c r="E91" s="144"/>
    </row>
    <row r="177" spans="2:2" x14ac:dyDescent="0.25">
      <c r="B177" t="s">
        <v>157</v>
      </c>
    </row>
    <row r="178" spans="2:2" x14ac:dyDescent="0.25">
      <c r="B178" t="s">
        <v>156</v>
      </c>
    </row>
  </sheetData>
  <sheetProtection password="E16B" sheet="1" objects="1" scenarios="1"/>
  <phoneticPr fontId="24" type="noConversion"/>
  <dataValidations xWindow="617" yWindow="633" count="17">
    <dataValidation allowBlank="1" showInputMessage="1" showErrorMessage="1" promptTitle="Guidance" prompt="Enter the avoided feedstock management costs associated with transporting and/or disposing of the material. " sqref="D65"/>
    <dataValidation allowBlank="1" showInputMessage="1" showErrorMessage="1" promptTitle="Guidance" prompt="Enter the total cost per ton/tonne of managing PTO residues (ie- Char) including transport and disposal. User may enter a negative value if selling char to generate a secondary revenue stream" sqref="D48"/>
    <dataValidation allowBlank="1" showInputMessage="1" showErrorMessage="1" promptTitle="Guidance" prompt="When entering a year later than the operations start year, maintenance costs will not be reflected in the summary data on the model outputs tab." sqref="D9"/>
    <dataValidation allowBlank="1" showInputMessage="1" showErrorMessage="1" promptTitle="Guidance" prompt="Enter the AVERAGE annuall, all in cost of one full time employee. For simplicity, cost is applied to all employees, regardless of skill or function." sqref="D43"/>
    <dataValidation allowBlank="1" showInputMessage="1" showErrorMessage="1" promptTitle="Guidance" prompt="Model can tolerate construction period LESS THAN or EQUAL to 3 years" sqref="D7"/>
    <dataValidation allowBlank="1" showInputMessage="1" showErrorMessage="1" promptTitle="Guidance" prompt="PTO facility lifespan ranges from 10-20 years" sqref="D10"/>
    <dataValidation allowBlank="1" showInputMessage="1" showErrorMessage="1" promptTitle="Guidance" prompt="Enter the weighted average cost of acquiring feedstock. Costs should be inclusive of transportation, material purchases and pre-processing costs." sqref="D44"/>
    <dataValidation allowBlank="1" showInputMessage="1" showErrorMessage="1" promptTitle="Guidance" prompt="User may enter a gate fee. Gate fees are applied to each unit mass of incoming feedstock" sqref="D60"/>
    <dataValidation allowBlank="1" showInputMessage="1" showErrorMessage="1" promptTitle="Note" prompt="Applied to all operating and maintenance expenses EXCEPT feedstock acquisition" sqref="D73"/>
    <dataValidation allowBlank="1" showInputMessage="1" showErrorMessage="1" promptTitle="Note" prompt="Not applied to avoided costs" sqref="D74"/>
    <dataValidation allowBlank="1" showErrorMessage="1" sqref="D42 D11:D17 D19:D22 D66"/>
    <dataValidation allowBlank="1" showInputMessage="1" showErrorMessage="1" promptTitle="Guidance" sqref="D18 D23:D24 D30"/>
    <dataValidation type="list" allowBlank="1" showInputMessage="1" showErrorMessage="1" sqref="D2">
      <formula1>$B$177:$B$178</formula1>
    </dataValidation>
    <dataValidation allowBlank="1" showInputMessage="1" showErrorMessage="1" promptTitle="Guidance" prompt="Enter the total cost per ton/tonne of managing pre-processing rejects (e.g. low value plastics, filbers) including transport and disposal." sqref="D47"/>
    <dataValidation allowBlank="1" showInputMessage="1" showErrorMessage="1" promptTitle="Note" prompt="Input lbs/ton(tonne) of feedstock to PTO reactor" sqref="D29"/>
    <dataValidation allowBlank="1" showInputMessage="1" showErrorMessage="1" promptTitle="Note" prompt="Input gallons/ton or liters/tonne of feedstock to PTO reactor" sqref="D31:D34"/>
    <dataValidation allowBlank="1" showInputMessage="1" showErrorMessage="1" promptTitle="Guidance" prompt="Input kWh/ton(tonne) of total incoming feedstock" sqref="D26:D28"/>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B1:D31"/>
  <sheetViews>
    <sheetView showGridLines="0" workbookViewId="0">
      <selection activeCell="B8" sqref="B8"/>
    </sheetView>
  </sheetViews>
  <sheetFormatPr defaultColWidth="11" defaultRowHeight="15.75" x14ac:dyDescent="0.25"/>
  <cols>
    <col min="1" max="1" width="4" customWidth="1"/>
    <col min="2" max="2" width="113.5" customWidth="1"/>
    <col min="3" max="3" width="21.5" customWidth="1"/>
    <col min="4" max="4" width="22.875" customWidth="1"/>
  </cols>
  <sheetData>
    <row r="1" spans="2:4" ht="16.5" thickBot="1" x14ac:dyDescent="0.3">
      <c r="B1" s="3"/>
      <c r="C1" s="3"/>
      <c r="D1" s="3"/>
    </row>
    <row r="2" spans="2:4" ht="23.25" x14ac:dyDescent="0.35">
      <c r="B2" s="75" t="s">
        <v>24</v>
      </c>
      <c r="C2" s="76"/>
      <c r="D2" s="77"/>
    </row>
    <row r="3" spans="2:4" x14ac:dyDescent="0.25">
      <c r="B3" s="78"/>
      <c r="C3" s="79"/>
      <c r="D3" s="80"/>
    </row>
    <row r="4" spans="2:4" x14ac:dyDescent="0.25">
      <c r="B4" s="81" t="s">
        <v>25</v>
      </c>
      <c r="C4" s="82"/>
      <c r="D4" s="83" t="s">
        <v>59</v>
      </c>
    </row>
    <row r="5" spans="2:4" x14ac:dyDescent="0.25">
      <c r="B5" s="84" t="s">
        <v>205</v>
      </c>
      <c r="C5" s="85">
        <f>MIN(Calculations!D134:Z134)</f>
        <v>0</v>
      </c>
      <c r="D5" s="86" t="str">
        <f>IF(Inputs!D2="Metric","Tonne/YR","Ton/YR")</f>
        <v>Ton/YR</v>
      </c>
    </row>
    <row r="6" spans="2:4" x14ac:dyDescent="0.25">
      <c r="B6" s="87" t="s">
        <v>139</v>
      </c>
      <c r="C6" s="88">
        <f>MIN(Calculations!D129:Z129)</f>
        <v>0</v>
      </c>
      <c r="D6" s="80" t="s">
        <v>147</v>
      </c>
    </row>
    <row r="7" spans="2:4" x14ac:dyDescent="0.25">
      <c r="B7" s="87" t="s">
        <v>146</v>
      </c>
      <c r="C7" s="88">
        <f>MIN(Calculations!D130:Z130)</f>
        <v>0</v>
      </c>
      <c r="D7" s="80" t="s">
        <v>147</v>
      </c>
    </row>
    <row r="8" spans="2:4" x14ac:dyDescent="0.25">
      <c r="B8" s="87" t="s">
        <v>145</v>
      </c>
      <c r="C8" s="88">
        <f>MIN(Calculations!D131:Z131)</f>
        <v>0</v>
      </c>
      <c r="D8" s="80" t="s">
        <v>147</v>
      </c>
    </row>
    <row r="9" spans="2:4" x14ac:dyDescent="0.25">
      <c r="B9" s="87" t="s">
        <v>64</v>
      </c>
      <c r="C9" s="88">
        <f>MIN(Calculations!D132:Z132)</f>
        <v>0</v>
      </c>
      <c r="D9" s="80" t="s">
        <v>147</v>
      </c>
    </row>
    <row r="10" spans="2:4" x14ac:dyDescent="0.25">
      <c r="B10" s="87" t="s">
        <v>154</v>
      </c>
      <c r="C10" s="88">
        <f>SUM(C6:C9)</f>
        <v>0</v>
      </c>
      <c r="D10" s="80" t="s">
        <v>147</v>
      </c>
    </row>
    <row r="11" spans="2:4" x14ac:dyDescent="0.25">
      <c r="B11" s="87"/>
      <c r="C11" s="90"/>
      <c r="D11" s="80"/>
    </row>
    <row r="12" spans="2:4" x14ac:dyDescent="0.25">
      <c r="B12" s="81" t="s">
        <v>17</v>
      </c>
      <c r="C12" s="82" t="s">
        <v>26</v>
      </c>
      <c r="D12" s="83" t="s">
        <v>59</v>
      </c>
    </row>
    <row r="13" spans="2:4" x14ac:dyDescent="0.25">
      <c r="B13" s="87" t="s">
        <v>27</v>
      </c>
      <c r="C13" s="189">
        <f>Calculations!D13</f>
        <v>0</v>
      </c>
      <c r="D13" s="91" t="s">
        <v>28</v>
      </c>
    </row>
    <row r="14" spans="2:4" x14ac:dyDescent="0.25">
      <c r="B14" s="87" t="str">
        <f>IF(Inputs!D2="Metric","CAPEX/Tonne Per YR of Installed Capacity","CAPEX/Ton Per YR of Installed Capacity")</f>
        <v>CAPEX/Ton Per YR of Installed Capacity</v>
      </c>
      <c r="C14" s="189">
        <f>IF(ISERROR(C13/Calculations!D5),0,C13/Calculations!D5)</f>
        <v>0</v>
      </c>
      <c r="D14" s="91" t="str">
        <f>IF(Inputs!D2="Metric","$/Tonne Per YR","$/Ton Per YR")</f>
        <v>$/Ton Per YR</v>
      </c>
    </row>
    <row r="15" spans="2:4" x14ac:dyDescent="0.25">
      <c r="B15" s="87" t="s">
        <v>92</v>
      </c>
      <c r="C15" s="189">
        <f>Calculations!D15</f>
        <v>0</v>
      </c>
      <c r="D15" s="91" t="s">
        <v>28</v>
      </c>
    </row>
    <row r="16" spans="2:4" x14ac:dyDescent="0.25">
      <c r="B16" s="87" t="s">
        <v>93</v>
      </c>
      <c r="C16" s="189">
        <f>Calculations!D16</f>
        <v>0</v>
      </c>
      <c r="D16" s="91" t="s">
        <v>28</v>
      </c>
    </row>
    <row r="17" spans="2:4" x14ac:dyDescent="0.25">
      <c r="B17" s="87" t="s">
        <v>29</v>
      </c>
      <c r="C17" s="189">
        <f>MIN(Calculations!D127:Z127)</f>
        <v>0</v>
      </c>
      <c r="D17" s="91" t="s">
        <v>155</v>
      </c>
    </row>
    <row r="18" spans="2:4" x14ac:dyDescent="0.25">
      <c r="B18" s="87" t="s">
        <v>166</v>
      </c>
      <c r="C18" s="189">
        <f>IF(ISERROR(C17/'Model Outputs'!C10),0,C17/'Model Outputs'!C10)</f>
        <v>0</v>
      </c>
      <c r="D18" s="91" t="s">
        <v>2</v>
      </c>
    </row>
    <row r="19" spans="2:4" x14ac:dyDescent="0.25">
      <c r="B19" s="87" t="s">
        <v>30</v>
      </c>
      <c r="C19" s="189">
        <f>MIN(Calculations!D128:Z128)</f>
        <v>0</v>
      </c>
      <c r="D19" s="91" t="s">
        <v>155</v>
      </c>
    </row>
    <row r="20" spans="2:4" x14ac:dyDescent="0.25">
      <c r="B20" s="89"/>
      <c r="C20" s="92"/>
      <c r="D20" s="91"/>
    </row>
    <row r="21" spans="2:4" x14ac:dyDescent="0.25">
      <c r="B21" s="81" t="s">
        <v>31</v>
      </c>
      <c r="C21" s="82" t="s">
        <v>26</v>
      </c>
      <c r="D21" s="83" t="s">
        <v>59</v>
      </c>
    </row>
    <row r="22" spans="2:4" x14ac:dyDescent="0.25">
      <c r="B22" s="87" t="s">
        <v>153</v>
      </c>
      <c r="C22" s="189">
        <f>MIN(Calculations!D123:Z123)</f>
        <v>0</v>
      </c>
      <c r="D22" s="91" t="s">
        <v>155</v>
      </c>
    </row>
    <row r="23" spans="2:4" x14ac:dyDescent="0.25">
      <c r="B23" s="87" t="s">
        <v>195</v>
      </c>
      <c r="C23" s="189">
        <f>MIN(Calculations!D124:Z124)</f>
        <v>0</v>
      </c>
      <c r="D23" s="91" t="s">
        <v>155</v>
      </c>
    </row>
    <row r="24" spans="2:4" x14ac:dyDescent="0.25">
      <c r="B24" s="87" t="s">
        <v>191</v>
      </c>
      <c r="C24" s="189">
        <f>MIN(Calculations!D125:Z125)</f>
        <v>0</v>
      </c>
      <c r="D24" s="91" t="s">
        <v>155</v>
      </c>
    </row>
    <row r="25" spans="2:4" x14ac:dyDescent="0.25">
      <c r="B25" s="215" t="s">
        <v>197</v>
      </c>
      <c r="C25" s="216">
        <f>MIN(Calculations!D126:Z126)</f>
        <v>0</v>
      </c>
      <c r="D25" s="91" t="s">
        <v>155</v>
      </c>
    </row>
    <row r="26" spans="2:4" ht="16.5" thickBot="1" x14ac:dyDescent="0.3">
      <c r="B26" s="93" t="s">
        <v>32</v>
      </c>
      <c r="C26" s="207">
        <f>MIN(C22:C25)</f>
        <v>0</v>
      </c>
      <c r="D26" s="94" t="s">
        <v>155</v>
      </c>
    </row>
    <row r="27" spans="2:4" ht="16.5" thickBot="1" x14ac:dyDescent="0.3">
      <c r="B27" s="3"/>
      <c r="C27" s="3"/>
      <c r="D27" s="3"/>
    </row>
    <row r="28" spans="2:4" x14ac:dyDescent="0.25">
      <c r="B28" s="95" t="s">
        <v>24</v>
      </c>
      <c r="C28" s="96" t="s">
        <v>26</v>
      </c>
      <c r="D28" s="97" t="s">
        <v>59</v>
      </c>
    </row>
    <row r="29" spans="2:4" x14ac:dyDescent="0.25">
      <c r="B29" s="98" t="str">
        <f>IF(Inputs!D2="Metric","FULLY LOADED COST/LITER","FULLY LOADED COST/GALLON")</f>
        <v>FULLY LOADED COST/GALLON</v>
      </c>
      <c r="C29" s="99">
        <f>MIN(Calculations!D121:Z121)</f>
        <v>0</v>
      </c>
      <c r="D29" s="100" t="str">
        <f>IF(Inputs!D2="Metric","$/Liter","$/Gallon")</f>
        <v>$/Gallon</v>
      </c>
    </row>
    <row r="30" spans="2:4" x14ac:dyDescent="0.25">
      <c r="B30" s="98" t="s">
        <v>1</v>
      </c>
      <c r="C30" s="99">
        <f>MIN(Calculations!D122:Z122)</f>
        <v>0</v>
      </c>
      <c r="D30" s="100" t="s">
        <v>2</v>
      </c>
    </row>
    <row r="31" spans="2:4" ht="16.5" thickBot="1" x14ac:dyDescent="0.3">
      <c r="B31" s="101" t="s">
        <v>33</v>
      </c>
      <c r="C31" s="120" t="str">
        <f>IF(ISERROR(Calculations!D113),"Not Viable",Calculations!D113)</f>
        <v>Not Viable</v>
      </c>
      <c r="D31" s="102" t="s">
        <v>95</v>
      </c>
    </row>
  </sheetData>
  <sheetProtection password="E16B" sheet="1" objects="1" scenarios="1"/>
  <phoneticPr fontId="24" type="noConversion"/>
  <dataValidations xWindow="462" yWindow="681" count="1">
    <dataValidation allowBlank="1" showErrorMessage="1" sqref="D37"/>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sheetPr>
  <dimension ref="A1:AA134"/>
  <sheetViews>
    <sheetView showGridLines="0" workbookViewId="0">
      <selection activeCell="B8" sqref="B8"/>
    </sheetView>
  </sheetViews>
  <sheetFormatPr defaultColWidth="11" defaultRowHeight="15.75" x14ac:dyDescent="0.25"/>
  <cols>
    <col min="1" max="1" width="4.625" customWidth="1"/>
    <col min="2" max="2" width="32" customWidth="1"/>
    <col min="3" max="3" width="15" customWidth="1"/>
    <col min="4" max="27" width="18" customWidth="1"/>
    <col min="28" max="29" width="15" customWidth="1"/>
  </cols>
  <sheetData>
    <row r="1" spans="1:26" ht="16.5" thickBot="1" x14ac:dyDescent="0.3"/>
    <row r="2" spans="1:26" ht="24" thickBot="1" x14ac:dyDescent="0.4">
      <c r="A2" s="3"/>
      <c r="B2" s="4" t="s">
        <v>77</v>
      </c>
      <c r="C2" s="5"/>
      <c r="D2" s="5"/>
      <c r="E2" s="5"/>
      <c r="F2" s="5"/>
      <c r="G2" s="5"/>
      <c r="H2" s="5"/>
      <c r="I2" s="5"/>
      <c r="J2" s="5"/>
      <c r="K2" s="5"/>
      <c r="L2" s="5"/>
      <c r="M2" s="5"/>
      <c r="N2" s="5"/>
      <c r="O2" s="5"/>
      <c r="P2" s="5"/>
      <c r="Q2" s="5"/>
      <c r="R2" s="5"/>
      <c r="S2" s="5"/>
      <c r="T2" s="5"/>
      <c r="U2" s="5"/>
      <c r="V2" s="5"/>
      <c r="W2" s="5"/>
      <c r="X2" s="5"/>
      <c r="Y2" s="5"/>
      <c r="Z2" s="6"/>
    </row>
    <row r="4" spans="1:26" x14ac:dyDescent="0.25">
      <c r="B4" s="7" t="s">
        <v>78</v>
      </c>
      <c r="C4" s="8"/>
      <c r="D4" s="9"/>
      <c r="E4" s="10"/>
    </row>
    <row r="5" spans="1:26" s="36" customFormat="1" x14ac:dyDescent="0.25">
      <c r="B5" s="64" t="s">
        <v>133</v>
      </c>
      <c r="C5" s="178"/>
      <c r="D5" s="180">
        <f>Inputs!D11*Inputs!D18</f>
        <v>0</v>
      </c>
      <c r="E5" s="67" t="str">
        <f>IF(Inputs!D2="Metric","MTPY","TPY")</f>
        <v>TPY</v>
      </c>
    </row>
    <row r="6" spans="1:26" s="36" customFormat="1" x14ac:dyDescent="0.25">
      <c r="B6" s="64" t="s">
        <v>172</v>
      </c>
      <c r="C6" s="178"/>
      <c r="D6" s="180">
        <f>Inputs!D12*Inputs!D18</f>
        <v>0</v>
      </c>
      <c r="E6" s="67" t="str">
        <f>IF(Inputs!D2="Metric","MTPY","TPY")</f>
        <v>TPY</v>
      </c>
    </row>
    <row r="7" spans="1:26" x14ac:dyDescent="0.25">
      <c r="B7" s="64" t="s">
        <v>202</v>
      </c>
      <c r="C7" s="65"/>
      <c r="D7" s="180">
        <f>Inputs!D12*Inputs!D13*Inputs!D18</f>
        <v>0</v>
      </c>
      <c r="E7" s="67" t="str">
        <f>IF(Inputs!D2="Metric","MTPY","TPY")</f>
        <v>TPY</v>
      </c>
    </row>
    <row r="8" spans="1:26" x14ac:dyDescent="0.25">
      <c r="B8" s="213" t="s">
        <v>173</v>
      </c>
      <c r="C8" s="65"/>
      <c r="D8" s="180">
        <f>D6*Inputs!D14</f>
        <v>0</v>
      </c>
      <c r="E8" s="67" t="str">
        <f>IF(Inputs!D2="Metric","MTPY","TPY")</f>
        <v>TPY</v>
      </c>
    </row>
    <row r="9" spans="1:26" x14ac:dyDescent="0.25">
      <c r="B9" s="213" t="s">
        <v>174</v>
      </c>
      <c r="C9" s="65"/>
      <c r="D9" s="180">
        <f>D6*Inputs!D15</f>
        <v>0</v>
      </c>
      <c r="E9" s="67" t="str">
        <f>IF(Inputs!D2="Metric","MTPY","TPY")</f>
        <v>TPY</v>
      </c>
      <c r="F9" s="214"/>
    </row>
    <row r="10" spans="1:26" x14ac:dyDescent="0.25">
      <c r="B10" s="213" t="s">
        <v>175</v>
      </c>
      <c r="C10" s="65"/>
      <c r="D10" s="180">
        <f>D6*Inputs!D16</f>
        <v>0</v>
      </c>
      <c r="E10" s="67" t="str">
        <f>IF(Inputs!D2="Metric","MTPY","TPY")</f>
        <v>TPY</v>
      </c>
    </row>
    <row r="11" spans="1:26" x14ac:dyDescent="0.25">
      <c r="B11" s="213" t="s">
        <v>194</v>
      </c>
      <c r="C11" s="65"/>
      <c r="D11" s="180">
        <f>D7*Inputs!D19</f>
        <v>0</v>
      </c>
      <c r="E11" s="67" t="str">
        <f>IF(Inputs!D2="Metric","MTPY","TPY")</f>
        <v>TPY</v>
      </c>
    </row>
    <row r="12" spans="1:26" x14ac:dyDescent="0.25">
      <c r="B12" s="64"/>
      <c r="C12" s="65"/>
      <c r="D12" s="66"/>
      <c r="E12" s="67"/>
    </row>
    <row r="13" spans="1:26" x14ac:dyDescent="0.25">
      <c r="B13" s="64" t="s">
        <v>82</v>
      </c>
      <c r="C13" s="65"/>
      <c r="D13" s="179">
        <f>Inputs!D37+Inputs!D38+Inputs!D39+Inputs!D40</f>
        <v>0</v>
      </c>
      <c r="E13" s="67" t="s">
        <v>28</v>
      </c>
    </row>
    <row r="14" spans="1:26" s="11" customFormat="1" x14ac:dyDescent="0.25">
      <c r="B14" s="13" t="s">
        <v>9</v>
      </c>
      <c r="C14" s="14"/>
      <c r="D14" s="181">
        <f>D13-Inputs!D77</f>
        <v>0</v>
      </c>
      <c r="E14" s="67" t="s">
        <v>28</v>
      </c>
      <c r="F14"/>
    </row>
    <row r="15" spans="1:26" s="11" customFormat="1" x14ac:dyDescent="0.25">
      <c r="B15" s="13" t="s">
        <v>92</v>
      </c>
      <c r="C15" s="14"/>
      <c r="D15" s="163">
        <f>D14*Inputs!D78</f>
        <v>0</v>
      </c>
      <c r="E15" s="15" t="s">
        <v>28</v>
      </c>
      <c r="F15"/>
    </row>
    <row r="16" spans="1:26" s="11" customFormat="1" x14ac:dyDescent="0.25">
      <c r="B16" s="13" t="s">
        <v>93</v>
      </c>
      <c r="C16" s="14"/>
      <c r="D16" s="163">
        <f>D14*Inputs!D79</f>
        <v>0</v>
      </c>
      <c r="E16" s="15" t="s">
        <v>28</v>
      </c>
      <c r="F16"/>
    </row>
    <row r="17" spans="1:26" s="11" customFormat="1" x14ac:dyDescent="0.25">
      <c r="B17" s="196"/>
      <c r="C17" s="16"/>
      <c r="D17" s="197"/>
      <c r="E17" s="198"/>
      <c r="F17"/>
    </row>
    <row r="19" spans="1:26" x14ac:dyDescent="0.25">
      <c r="B19" s="20" t="s">
        <v>104</v>
      </c>
      <c r="C19" s="21"/>
      <c r="D19" s="22">
        <f>Inputs!D6</f>
        <v>0</v>
      </c>
      <c r="E19" s="22">
        <f>D19+1</f>
        <v>1</v>
      </c>
      <c r="F19" s="22">
        <f>E19+1</f>
        <v>2</v>
      </c>
      <c r="G19" s="22">
        <f t="shared" ref="G19:Z19" si="0">F19+1</f>
        <v>3</v>
      </c>
      <c r="H19" s="22">
        <f t="shared" si="0"/>
        <v>4</v>
      </c>
      <c r="I19" s="22">
        <f t="shared" si="0"/>
        <v>5</v>
      </c>
      <c r="J19" s="22">
        <f t="shared" si="0"/>
        <v>6</v>
      </c>
      <c r="K19" s="22">
        <f t="shared" si="0"/>
        <v>7</v>
      </c>
      <c r="L19" s="22">
        <f t="shared" si="0"/>
        <v>8</v>
      </c>
      <c r="M19" s="22">
        <f t="shared" si="0"/>
        <v>9</v>
      </c>
      <c r="N19" s="22">
        <f t="shared" si="0"/>
        <v>10</v>
      </c>
      <c r="O19" s="22">
        <f t="shared" si="0"/>
        <v>11</v>
      </c>
      <c r="P19" s="22">
        <f t="shared" si="0"/>
        <v>12</v>
      </c>
      <c r="Q19" s="22">
        <f t="shared" si="0"/>
        <v>13</v>
      </c>
      <c r="R19" s="22">
        <f t="shared" si="0"/>
        <v>14</v>
      </c>
      <c r="S19" s="22">
        <f t="shared" si="0"/>
        <v>15</v>
      </c>
      <c r="T19" s="22">
        <f t="shared" si="0"/>
        <v>16</v>
      </c>
      <c r="U19" s="22">
        <f t="shared" si="0"/>
        <v>17</v>
      </c>
      <c r="V19" s="22">
        <f t="shared" si="0"/>
        <v>18</v>
      </c>
      <c r="W19" s="22">
        <f t="shared" si="0"/>
        <v>19</v>
      </c>
      <c r="X19" s="23">
        <f t="shared" si="0"/>
        <v>20</v>
      </c>
      <c r="Y19" s="23">
        <f t="shared" si="0"/>
        <v>21</v>
      </c>
      <c r="Z19" s="23">
        <f t="shared" si="0"/>
        <v>22</v>
      </c>
    </row>
    <row r="20" spans="1:26" x14ac:dyDescent="0.25">
      <c r="A20" s="11"/>
      <c r="B20" s="24" t="s">
        <v>105</v>
      </c>
      <c r="C20" s="25"/>
      <c r="D20" s="26">
        <f>IF(D19&lt;Inputs!$D$8,0,IF(D19=Inputs!$D$8,1,IF(D19&gt;Inputs!$D$8,C20+1,IF(D19&gt;=Inputs!$D$8+Inputs!$D$10,0))))</f>
        <v>1</v>
      </c>
      <c r="E20" s="26">
        <f>IF(E19&lt;Inputs!$D$8,0,IF(E19=Inputs!$D$8,1,IF(E19&gt;Inputs!$D$8,D20+1,IF(E19&gt;=Inputs!$D$8+Inputs!$D$10,0))))</f>
        <v>2</v>
      </c>
      <c r="F20" s="26">
        <f>IF(F19&lt;Inputs!$D$8,0,IF(F19=Inputs!$D$8,1,IF(F19&gt;Inputs!$D$8,E20+1,IF(F19&gt;=Inputs!$D$8+Inputs!$D$10,0))))</f>
        <v>3</v>
      </c>
      <c r="G20" s="26">
        <f>IF(G19&lt;Inputs!$D$8,0,IF(G19=Inputs!$D$8,1,IF(G19&gt;Inputs!$D$8,F20+1,IF(G19&gt;=Inputs!$D$8+Inputs!$D$10,0))))</f>
        <v>4</v>
      </c>
      <c r="H20" s="26">
        <f>IF(H19&lt;Inputs!$D$8,0,IF(H19=Inputs!$D$8,1,IF(H19&gt;Inputs!$D$8,G20+1,IF(H19&gt;=Inputs!$D$8+Inputs!$D$10,0))))</f>
        <v>5</v>
      </c>
      <c r="I20" s="26">
        <f>IF(I19&lt;Inputs!$D$8,0,IF(I19=Inputs!$D$8,1,IF(I19&gt;Inputs!$D$8,H20+1,IF(I19&gt;=Inputs!$D$8+Inputs!$D$10,0))))</f>
        <v>6</v>
      </c>
      <c r="J20" s="26">
        <f>IF(J19&lt;Inputs!$D$8,0,IF(J19=Inputs!$D$8,1,IF(J19&gt;Inputs!$D$8,I20+1,IF(J19&gt;=Inputs!$D$8+Inputs!$D$10,0))))</f>
        <v>7</v>
      </c>
      <c r="K20" s="26">
        <f>IF(K19&lt;Inputs!$D$8,0,IF(K19=Inputs!$D$8,1,IF(K19&gt;Inputs!$D$8,J20+1,IF(K19&gt;=Inputs!$D$8+Inputs!$D$10,0))))</f>
        <v>8</v>
      </c>
      <c r="L20" s="26">
        <f>IF(L19&lt;Inputs!$D$8,0,IF(L19=Inputs!$D$8,1,IF(L19&gt;Inputs!$D$8,K20+1,IF(L19&gt;=Inputs!$D$8+Inputs!$D$10,0))))</f>
        <v>9</v>
      </c>
      <c r="M20" s="26">
        <f>IF(M19&lt;Inputs!$D$8,0,IF(M19=Inputs!$D$8,1,IF(M19&gt;Inputs!$D$8,L20+1,IF(M19&gt;=Inputs!$D$8+Inputs!$D$10,0))))</f>
        <v>10</v>
      </c>
      <c r="N20" s="26">
        <f>IF(N19&lt;Inputs!$D$8,0,IF(N19=Inputs!$D$8,1,IF(N19&gt;Inputs!$D$8,M20+1,IF(N19&gt;=Inputs!$D$8+Inputs!$D$10,0))))</f>
        <v>11</v>
      </c>
      <c r="O20" s="26">
        <f>IF(O19&lt;Inputs!$D$8,0,IF(O19=Inputs!$D$8,1,IF(O19&gt;Inputs!$D$8,N20+1,IF(O19&gt;=Inputs!$D$8+Inputs!$D$10,0))))</f>
        <v>12</v>
      </c>
      <c r="P20" s="26">
        <f>IF(P19&lt;Inputs!$D$8,0,IF(P19=Inputs!$D$8,1,IF(P19&gt;Inputs!$D$8,O20+1,IF(P19&gt;=Inputs!$D$8+Inputs!$D$10,0))))</f>
        <v>13</v>
      </c>
      <c r="Q20" s="26">
        <f>IF(Q19&lt;Inputs!$D$8,0,IF(Q19=Inputs!$D$8,1,IF(Q19&gt;Inputs!$D$8,P20+1,IF(Q19&gt;=Inputs!$D$8+Inputs!$D$10,0))))</f>
        <v>14</v>
      </c>
      <c r="R20" s="26">
        <f>IF(R19&lt;Inputs!$D$8,0,IF(R19=Inputs!$D$8,1,IF(R19&gt;Inputs!$D$8,Q20+1,IF(R19&gt;=Inputs!$D$8+Inputs!$D$10,0))))</f>
        <v>15</v>
      </c>
      <c r="S20" s="26">
        <f>IF(S19&lt;Inputs!$D$8,0,IF(S19=Inputs!$D$8,1,IF(S19&gt;Inputs!$D$8,R20+1,IF(S19&gt;=Inputs!$D$8+Inputs!$D$10,0))))</f>
        <v>16</v>
      </c>
      <c r="T20" s="26">
        <f>IF(T19&lt;Inputs!$D$8,0,IF(T19=Inputs!$D$8,1,IF(T19&gt;Inputs!$D$8,S20+1,IF(T19&gt;=Inputs!$D$8+Inputs!$D$10,0))))</f>
        <v>17</v>
      </c>
      <c r="U20" s="26">
        <f>IF(U19&lt;Inputs!$D$8,0,IF(U19=Inputs!$D$8,1,IF(U19&gt;Inputs!$D$8,T20+1,IF(U19&gt;=Inputs!$D$8+Inputs!$D$10,0))))</f>
        <v>18</v>
      </c>
      <c r="V20" s="26">
        <f>IF(V19&lt;Inputs!$D$8,0,IF(V19=Inputs!$D$8,1,IF(V19&gt;Inputs!$D$8,U20+1,IF(V19&gt;=Inputs!$D$8+Inputs!$D$10,0))))</f>
        <v>19</v>
      </c>
      <c r="W20" s="26">
        <f>IF(W19&lt;Inputs!$D$8,0,IF(W19=Inputs!$D$8,1,IF(W19&gt;Inputs!$D$8,V20+1,IF(W19&gt;=Inputs!$D$8+Inputs!$D$10,0))))</f>
        <v>20</v>
      </c>
      <c r="X20" s="26">
        <f>IF(X19&lt;Inputs!$D$8,0,IF(X19=Inputs!$D$8,1,IF(X19&gt;Inputs!$D$8,W20+1,IF(X19&gt;=Inputs!$D$8+Inputs!$D$10,0))))</f>
        <v>21</v>
      </c>
      <c r="Y20" s="26">
        <f>IF(Y19&lt;Inputs!$D$8,0,IF(Y19=Inputs!$D$8,1,IF(Y19&gt;Inputs!$D$8,X20+1,IF(Y19&gt;=Inputs!$D$8+Inputs!$D$10,0))))</f>
        <v>22</v>
      </c>
      <c r="Z20" s="26">
        <f>IF(Z19&lt;Inputs!$D$8,0,IF(Z19=Inputs!$D$8,1,IF(Z19&gt;Inputs!$D$8,Y20+1,IF(Z19&gt;=Inputs!$D$8+Inputs!$D$10,0))))</f>
        <v>23</v>
      </c>
    </row>
    <row r="21" spans="1:26" x14ac:dyDescent="0.25">
      <c r="A21" s="27"/>
      <c r="B21" s="28" t="s">
        <v>106</v>
      </c>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x14ac:dyDescent="0.25">
      <c r="B22" t="str">
        <f>IF(Inputs!D2="Metric","Total Incoming Feedstock (MTPY)","Total Incoming Feedstock (TPY)")</f>
        <v>Total Incoming Feedstock (TPY)</v>
      </c>
      <c r="D22" s="30">
        <f>IF(AND(D20&gt;0,D20&lt;=Inputs!$D$10),$D$6,0)</f>
        <v>0</v>
      </c>
      <c r="E22" s="30">
        <f>IF(AND(E20&gt;0,E20&lt;=Inputs!$D$10),$D$6,0)</f>
        <v>0</v>
      </c>
      <c r="F22" s="30">
        <f>IF(AND(F20&gt;0,F20&lt;=Inputs!$D$10),$D$6,0)</f>
        <v>0</v>
      </c>
      <c r="G22" s="30">
        <f>IF(AND(G20&gt;0,G20&lt;=Inputs!$D$10),$D$6,0)</f>
        <v>0</v>
      </c>
      <c r="H22" s="30">
        <f>IF(AND(H20&gt;0,H20&lt;=Inputs!$D$10),$D$6,0)</f>
        <v>0</v>
      </c>
      <c r="I22" s="30">
        <f>IF(AND(I20&gt;0,I20&lt;=Inputs!$D$10),$D$6,0)</f>
        <v>0</v>
      </c>
      <c r="J22" s="30">
        <f>IF(AND(J20&gt;0,J20&lt;=Inputs!$D$10),$D$6,0)</f>
        <v>0</v>
      </c>
      <c r="K22" s="30">
        <f>IF(AND(K20&gt;0,K20&lt;=Inputs!$D$10),$D$6,0)</f>
        <v>0</v>
      </c>
      <c r="L22" s="30">
        <f>IF(AND(L20&gt;0,L20&lt;=Inputs!$D$10),$D$6,0)</f>
        <v>0</v>
      </c>
      <c r="M22" s="30">
        <f>IF(AND(M20&gt;0,M20&lt;=Inputs!$D$10),$D$6,0)</f>
        <v>0</v>
      </c>
      <c r="N22" s="30">
        <f>IF(AND(N20&gt;0,N20&lt;=Inputs!$D$10),$D$6,0)</f>
        <v>0</v>
      </c>
      <c r="O22" s="30">
        <f>IF(AND(O20&gt;0,O20&lt;=Inputs!$D$10),$D$6,0)</f>
        <v>0</v>
      </c>
      <c r="P22" s="30">
        <f>IF(AND(P20&gt;0,P20&lt;=Inputs!$D$10),$D$6,0)</f>
        <v>0</v>
      </c>
      <c r="Q22" s="30">
        <f>IF(AND(Q20&gt;0,Q20&lt;=Inputs!$D$10),$D$6,0)</f>
        <v>0</v>
      </c>
      <c r="R22" s="30">
        <f>IF(AND(R20&gt;0,R20&lt;=Inputs!$D$10),$D$6,0)</f>
        <v>0</v>
      </c>
      <c r="S22" s="30">
        <f>IF(AND(S20&gt;0,S20&lt;=Inputs!$D$10),$D$6,0)</f>
        <v>0</v>
      </c>
      <c r="T22" s="30">
        <f>IF(AND(T20&gt;0,T20&lt;=Inputs!$D$10),$D$6,0)</f>
        <v>0</v>
      </c>
      <c r="U22" s="30">
        <f>IF(AND(U20&gt;0,U20&lt;=Inputs!$D$10),$D$6,0)</f>
        <v>0</v>
      </c>
      <c r="V22" s="30">
        <f>IF(AND(V20&gt;0,V20&lt;=Inputs!$D$10),$D$6,0)</f>
        <v>0</v>
      </c>
      <c r="W22" s="30">
        <f>IF(AND(W20&gt;0,W20&lt;=Inputs!$D$10),$D$6,0)</f>
        <v>0</v>
      </c>
      <c r="X22" s="30">
        <f>IF(AND(X20&gt;0,X20&lt;=Inputs!$D$10),$D$6,0)</f>
        <v>0</v>
      </c>
      <c r="Y22" s="30">
        <f>IF(AND(Y20&gt;0,Y20&lt;=Inputs!$D$10),$D$6,0)</f>
        <v>0</v>
      </c>
      <c r="Z22" s="30">
        <f>IF(AND(Z20&gt;0,Z20&lt;=Inputs!$D$10),$D$6,0)</f>
        <v>0</v>
      </c>
    </row>
    <row r="23" spans="1:26" x14ac:dyDescent="0.25">
      <c r="B23" s="210" t="str">
        <f>IF(Inputs!D2="Metric","Feedstock to PTF Reactor (MTPY)","Feedstock to PTF Reactor (TPY)")</f>
        <v>Feedstock to PTF Reactor (TPY)</v>
      </c>
      <c r="D23" s="30">
        <f>IF(AND(D20&gt;0,D20&lt;=Inputs!$D$10),$D$7,0)</f>
        <v>0</v>
      </c>
      <c r="E23" s="30">
        <f>IF(AND(E20&gt;0,E20&lt;=Inputs!$D$10),$D$7,0)</f>
        <v>0</v>
      </c>
      <c r="F23" s="30">
        <f>IF(AND(F20&gt;0,F20&lt;=Inputs!$D$10),$D$7,0)</f>
        <v>0</v>
      </c>
      <c r="G23" s="30">
        <f>IF(AND(G20&gt;0,G20&lt;=Inputs!$D$10),$D$7,0)</f>
        <v>0</v>
      </c>
      <c r="H23" s="30">
        <f>IF(AND(H20&gt;0,H20&lt;=Inputs!$D$10),$D$7,0)</f>
        <v>0</v>
      </c>
      <c r="I23" s="30">
        <f>IF(AND(I20&gt;0,I20&lt;=Inputs!$D$10),$D$7,0)</f>
        <v>0</v>
      </c>
      <c r="J23" s="30">
        <f>IF(AND(J20&gt;0,J20&lt;=Inputs!$D$10),$D$7,0)</f>
        <v>0</v>
      </c>
      <c r="K23" s="30">
        <f>IF(AND(K20&gt;0,K20&lt;=Inputs!$D$10),$D$7,0)</f>
        <v>0</v>
      </c>
      <c r="L23" s="30">
        <f>IF(AND(L20&gt;0,L20&lt;=Inputs!$D$10),$D$7,0)</f>
        <v>0</v>
      </c>
      <c r="M23" s="30">
        <f>IF(AND(M20&gt;0,M20&lt;=Inputs!$D$10),$D$7,0)</f>
        <v>0</v>
      </c>
      <c r="N23" s="30">
        <f>IF(AND(N20&gt;0,N20&lt;=Inputs!$D$10),$D$7,0)</f>
        <v>0</v>
      </c>
      <c r="O23" s="30">
        <f>IF(AND(O20&gt;0,O20&lt;=Inputs!$D$10),$D$7,0)</f>
        <v>0</v>
      </c>
      <c r="P23" s="30">
        <f>IF(AND(P20&gt;0,P20&lt;=Inputs!$D$10),$D$7,0)</f>
        <v>0</v>
      </c>
      <c r="Q23" s="30">
        <f>IF(AND(Q20&gt;0,Q20&lt;=Inputs!$D$10),$D$7,0)</f>
        <v>0</v>
      </c>
      <c r="R23" s="30">
        <f>IF(AND(R20&gt;0,R20&lt;=Inputs!$D$10),$D$7,0)</f>
        <v>0</v>
      </c>
      <c r="S23" s="30">
        <f>IF(AND(S20&gt;0,S20&lt;=Inputs!$D$10),$D$7,0)</f>
        <v>0</v>
      </c>
      <c r="T23" s="30">
        <f>IF(AND(T20&gt;0,T20&lt;=Inputs!$D$10),$D$7,0)</f>
        <v>0</v>
      </c>
      <c r="U23" s="30">
        <f>IF(AND(U20&gt;0,U20&lt;=Inputs!$D$10),$D$7,0)</f>
        <v>0</v>
      </c>
      <c r="V23" s="30">
        <f>IF(AND(V20&gt;0,V20&lt;=Inputs!$D$10),$D$7,0)</f>
        <v>0</v>
      </c>
      <c r="W23" s="30">
        <f>IF(AND(W20&gt;0,W20&lt;=Inputs!$D$10),$D$7,0)</f>
        <v>0</v>
      </c>
      <c r="X23" s="30">
        <f>IF(AND(X20&gt;0,X20&lt;=Inputs!$D$10),$D$7,0)</f>
        <v>0</v>
      </c>
      <c r="Y23" s="30">
        <f>IF(AND(Y20&gt;0,Y20&lt;=Inputs!$D$10),$D$7,0)</f>
        <v>0</v>
      </c>
      <c r="Z23" s="30">
        <f>IF(AND(Z20&gt;0,Z20&lt;=Inputs!$D$10),$D$7,0)</f>
        <v>0</v>
      </c>
    </row>
    <row r="24" spans="1:26" x14ac:dyDescent="0.25">
      <c r="B24" s="210" t="str">
        <f>IF(Inputs!D2="Metric","Pre-processing Rejects Recycled - Plastic (MTPY)","Pre-processing Rejects Recycled - Plastic (TPY)")</f>
        <v>Pre-processing Rejects Recycled - Plastic (TPY)</v>
      </c>
      <c r="D24" s="30">
        <f>IF(AND(D20&gt;0,D20&lt;=Inputs!$D$10),$D$8,0)</f>
        <v>0</v>
      </c>
      <c r="E24" s="30">
        <f>IF(AND(E20&gt;0,E20&lt;=Inputs!$D$10),$D$8,0)</f>
        <v>0</v>
      </c>
      <c r="F24" s="30">
        <f>IF(AND(F20&gt;0,F20&lt;=Inputs!$D$10),$D$8,0)</f>
        <v>0</v>
      </c>
      <c r="G24" s="30">
        <f>IF(AND(G20&gt;0,G20&lt;=Inputs!$D$10),$D$8,0)</f>
        <v>0</v>
      </c>
      <c r="H24" s="30">
        <f>IF(AND(H20&gt;0,H20&lt;=Inputs!$D$10),$D$8,0)</f>
        <v>0</v>
      </c>
      <c r="I24" s="30">
        <f>IF(AND(I20&gt;0,I20&lt;=Inputs!$D$10),$D$8,0)</f>
        <v>0</v>
      </c>
      <c r="J24" s="30">
        <f>IF(AND(J20&gt;0,J20&lt;=Inputs!$D$10),$D$8,0)</f>
        <v>0</v>
      </c>
      <c r="K24" s="30">
        <f>IF(AND(K20&gt;0,K20&lt;=Inputs!$D$10),$D$8,0)</f>
        <v>0</v>
      </c>
      <c r="L24" s="30">
        <f>IF(AND(L20&gt;0,L20&lt;=Inputs!$D$10),$D$8,0)</f>
        <v>0</v>
      </c>
      <c r="M24" s="30">
        <f>IF(AND(M20&gt;0,M20&lt;=Inputs!$D$10),$D$8,0)</f>
        <v>0</v>
      </c>
      <c r="N24" s="30">
        <f>IF(AND(N20&gt;0,N20&lt;=Inputs!$D$10),$D$8,0)</f>
        <v>0</v>
      </c>
      <c r="O24" s="30">
        <f>IF(AND(O20&gt;0,O20&lt;=Inputs!$D$10),$D$8,0)</f>
        <v>0</v>
      </c>
      <c r="P24" s="30">
        <f>IF(AND(P20&gt;0,P20&lt;=Inputs!$D$10),$D$8,0)</f>
        <v>0</v>
      </c>
      <c r="Q24" s="30">
        <f>IF(AND(Q20&gt;0,Q20&lt;=Inputs!$D$10),$D$8,0)</f>
        <v>0</v>
      </c>
      <c r="R24" s="30">
        <f>IF(AND(R20&gt;0,R20&lt;=Inputs!$D$10),$D$8,0)</f>
        <v>0</v>
      </c>
      <c r="S24" s="30">
        <f>IF(AND(S20&gt;0,S20&lt;=Inputs!$D$10),$D$8,0)</f>
        <v>0</v>
      </c>
      <c r="T24" s="30">
        <f>IF(AND(T20&gt;0,T20&lt;=Inputs!$D$10),$D$8,0)</f>
        <v>0</v>
      </c>
      <c r="U24" s="30">
        <f>IF(AND(U20&gt;0,U20&lt;=Inputs!$D$10),$D$8,0)</f>
        <v>0</v>
      </c>
      <c r="V24" s="30">
        <f>IF(AND(V20&gt;0,V20&lt;=Inputs!$D$10),$D$8,0)</f>
        <v>0</v>
      </c>
      <c r="W24" s="30">
        <f>IF(AND(W20&gt;0,W20&lt;=Inputs!$D$10),$D$8,0)</f>
        <v>0</v>
      </c>
      <c r="X24" s="30">
        <f>IF(AND(X20&gt;0,X20&lt;=Inputs!$D$10),$D$8,0)</f>
        <v>0</v>
      </c>
      <c r="Y24" s="30">
        <f>IF(AND(Y20&gt;0,Y20&lt;=Inputs!$D$10),$D$8,0)</f>
        <v>0</v>
      </c>
      <c r="Z24" s="30">
        <f>IF(AND(Z20&gt;0,Z20&lt;=Inputs!$D$10),$D$8,0)</f>
        <v>0</v>
      </c>
    </row>
    <row r="25" spans="1:26" x14ac:dyDescent="0.25">
      <c r="B25" s="210" t="str">
        <f>IF(Inputs!D2="Metric","Pre-processing Rejects Recycled - Metals (MTPY)","Pre-processing Rejects Recycled - Metals (TPY)")</f>
        <v>Pre-processing Rejects Recycled - Metals (TPY)</v>
      </c>
      <c r="D25" s="30">
        <f>IF(AND(D20&gt;0,D20&lt;=Inputs!$D$10),$D$9,0)</f>
        <v>0</v>
      </c>
      <c r="E25" s="30">
        <f>IF(AND(E20&gt;0,E20&lt;=Inputs!$D$10),$D$9,0)</f>
        <v>0</v>
      </c>
      <c r="F25" s="30">
        <f>IF(AND(F20&gt;0,F20&lt;=Inputs!$D$10),$D$9,0)</f>
        <v>0</v>
      </c>
      <c r="G25" s="30">
        <f>IF(AND(G20&gt;0,G20&lt;=Inputs!$D$10),$D$9,0)</f>
        <v>0</v>
      </c>
      <c r="H25" s="30">
        <f>IF(AND(H20&gt;0,H20&lt;=Inputs!$D$10),$D$9,0)</f>
        <v>0</v>
      </c>
      <c r="I25" s="30">
        <f>IF(AND(I20&gt;0,I20&lt;=Inputs!$D$10),$D$9,0)</f>
        <v>0</v>
      </c>
      <c r="J25" s="30">
        <f>IF(AND(J20&gt;0,J20&lt;=Inputs!$D$10),$D$9,0)</f>
        <v>0</v>
      </c>
      <c r="K25" s="30">
        <f>IF(AND(K20&gt;0,K20&lt;=Inputs!$D$10),$D$9,0)</f>
        <v>0</v>
      </c>
      <c r="L25" s="30">
        <f>IF(AND(L20&gt;0,L20&lt;=Inputs!$D$10),$D$9,0)</f>
        <v>0</v>
      </c>
      <c r="M25" s="30">
        <f>IF(AND(M20&gt;0,M20&lt;=Inputs!$D$10),$D$9,0)</f>
        <v>0</v>
      </c>
      <c r="N25" s="30">
        <f>IF(AND(N20&gt;0,N20&lt;=Inputs!$D$10),$D$9,0)</f>
        <v>0</v>
      </c>
      <c r="O25" s="30">
        <f>IF(AND(O20&gt;0,O20&lt;=Inputs!$D$10),$D$9,0)</f>
        <v>0</v>
      </c>
      <c r="P25" s="30">
        <f>IF(AND(P20&gt;0,P20&lt;=Inputs!$D$10),$D$9,0)</f>
        <v>0</v>
      </c>
      <c r="Q25" s="30">
        <f>IF(AND(Q20&gt;0,Q20&lt;=Inputs!$D$10),$D$9,0)</f>
        <v>0</v>
      </c>
      <c r="R25" s="30">
        <f>IF(AND(R20&gt;0,R20&lt;=Inputs!$D$10),$D$9,0)</f>
        <v>0</v>
      </c>
      <c r="S25" s="30">
        <f>IF(AND(S20&gt;0,S20&lt;=Inputs!$D$10),$D$9,0)</f>
        <v>0</v>
      </c>
      <c r="T25" s="30">
        <f>IF(AND(T20&gt;0,T20&lt;=Inputs!$D$10),$D$9,0)</f>
        <v>0</v>
      </c>
      <c r="U25" s="30">
        <f>IF(AND(U20&gt;0,U20&lt;=Inputs!$D$10),$D$9,0)</f>
        <v>0</v>
      </c>
      <c r="V25" s="30">
        <f>IF(AND(V20&gt;0,V20&lt;=Inputs!$D$10),$D$9,0)</f>
        <v>0</v>
      </c>
      <c r="W25" s="30">
        <f>IF(AND(W20&gt;0,W20&lt;=Inputs!$D$10),$D$9,0)</f>
        <v>0</v>
      </c>
      <c r="X25" s="30">
        <f>IF(AND(X20&gt;0,X20&lt;=Inputs!$D$10),$D$9,0)</f>
        <v>0</v>
      </c>
      <c r="Y25" s="30">
        <f>IF(AND(Y20&gt;0,Y20&lt;=Inputs!$D$10),$D$9,0)</f>
        <v>0</v>
      </c>
      <c r="Z25" s="30">
        <f>IF(AND(Z20&gt;0,Z20&lt;=Inputs!$D$10),$D$9,0)</f>
        <v>0</v>
      </c>
    </row>
    <row r="26" spans="1:26" x14ac:dyDescent="0.25">
      <c r="B26" s="210" t="str">
        <f>IF(Inputs!D2="Metric","Pre-processing Rejects to Landfill (MTPY)","Pre-processing Rejects to Landfill (TPY)")</f>
        <v>Pre-processing Rejects to Landfill (TPY)</v>
      </c>
      <c r="D26" s="30">
        <f>IF(AND(D20&gt;0,D20&lt;=Inputs!$D$10),$D$10,0)</f>
        <v>0</v>
      </c>
      <c r="E26" s="30">
        <f>IF(AND(E20&gt;0,E20&lt;=Inputs!$D$10),$D$10,0)</f>
        <v>0</v>
      </c>
      <c r="F26" s="30">
        <f>IF(AND(F20&gt;0,F20&lt;=Inputs!$D$10),$D$10,0)</f>
        <v>0</v>
      </c>
      <c r="G26" s="30">
        <f>IF(AND(G20&gt;0,G20&lt;=Inputs!$D$10),$D$10,0)</f>
        <v>0</v>
      </c>
      <c r="H26" s="30">
        <f>IF(AND(H20&gt;0,H20&lt;=Inputs!$D$10),$D$10,0)</f>
        <v>0</v>
      </c>
      <c r="I26" s="30">
        <f>IF(AND(I20&gt;0,I20&lt;=Inputs!$D$10),$D$10,0)</f>
        <v>0</v>
      </c>
      <c r="J26" s="30">
        <f>IF(AND(J20&gt;0,J20&lt;=Inputs!$D$10),$D$10,0)</f>
        <v>0</v>
      </c>
      <c r="K26" s="30">
        <f>IF(AND(K20&gt;0,K20&lt;=Inputs!$D$10),$D$10,0)</f>
        <v>0</v>
      </c>
      <c r="L26" s="30">
        <f>IF(AND(L20&gt;0,L20&lt;=Inputs!$D$10),$D$10,0)</f>
        <v>0</v>
      </c>
      <c r="M26" s="30">
        <f>IF(AND(M20&gt;0,M20&lt;=Inputs!$D$10),$D$10,0)</f>
        <v>0</v>
      </c>
      <c r="N26" s="30">
        <f>IF(AND(N20&gt;0,N20&lt;=Inputs!$D$10),$D$10,0)</f>
        <v>0</v>
      </c>
      <c r="O26" s="30">
        <f>IF(AND(O20&gt;0,O20&lt;=Inputs!$D$10),$D$10,0)</f>
        <v>0</v>
      </c>
      <c r="P26" s="30">
        <f>IF(AND(P20&gt;0,P20&lt;=Inputs!$D$10),$D$10,0)</f>
        <v>0</v>
      </c>
      <c r="Q26" s="30">
        <f>IF(AND(Q20&gt;0,Q20&lt;=Inputs!$D$10),$D$10,0)</f>
        <v>0</v>
      </c>
      <c r="R26" s="30">
        <f>IF(AND(R20&gt;0,R20&lt;=Inputs!$D$10),$D$10,0)</f>
        <v>0</v>
      </c>
      <c r="S26" s="30">
        <f>IF(AND(S20&gt;0,S20&lt;=Inputs!$D$10),$D$10,0)</f>
        <v>0</v>
      </c>
      <c r="T26" s="30">
        <f>IF(AND(T20&gt;0,T20&lt;=Inputs!$D$10),$D$10,0)</f>
        <v>0</v>
      </c>
      <c r="U26" s="30">
        <f>IF(AND(U20&gt;0,U20&lt;=Inputs!$D$10),$D$10,0)</f>
        <v>0</v>
      </c>
      <c r="V26" s="30">
        <f>IF(AND(V20&gt;0,V20&lt;=Inputs!$D$10),$D$10,0)</f>
        <v>0</v>
      </c>
      <c r="W26" s="30">
        <f>IF(AND(W20&gt;0,W20&lt;=Inputs!$D$10),$D$10,0)</f>
        <v>0</v>
      </c>
      <c r="X26" s="30">
        <f>IF(AND(X20&gt;0,X20&lt;=Inputs!$D$10),$D$10,0)</f>
        <v>0</v>
      </c>
      <c r="Y26" s="30">
        <f>IF(AND(Y20&gt;0,Y20&lt;=Inputs!$D$10),$D$10,0)</f>
        <v>0</v>
      </c>
      <c r="Z26" s="30">
        <f>IF(AND(Z20&gt;0,Z20&lt;=Inputs!$D$10),$D$10,0)</f>
        <v>0</v>
      </c>
    </row>
    <row r="27" spans="1:26" x14ac:dyDescent="0.25">
      <c r="B27" s="210" t="str">
        <f>IF(Inputs!D2="Metric","Processing Residues (MTPY)","Processing Residues (TPY)")</f>
        <v>Processing Residues (TPY)</v>
      </c>
      <c r="D27" s="30">
        <f>IF(AND(D20&gt;0,D20&lt;=Inputs!$D$10),$D$11,0)</f>
        <v>0</v>
      </c>
      <c r="E27" s="30">
        <f>IF(AND(E20&gt;0,E20&lt;=Inputs!$D$10),$D$11,0)</f>
        <v>0</v>
      </c>
      <c r="F27" s="30">
        <f>IF(AND(F20&gt;0,F20&lt;=Inputs!$D$10),$D$11,0)</f>
        <v>0</v>
      </c>
      <c r="G27" s="30">
        <f>IF(AND(G20&gt;0,G20&lt;=Inputs!$D$10),$D$11,0)</f>
        <v>0</v>
      </c>
      <c r="H27" s="30">
        <f>IF(AND(H20&gt;0,H20&lt;=Inputs!$D$10),$D$11,0)</f>
        <v>0</v>
      </c>
      <c r="I27" s="30">
        <f>IF(AND(I20&gt;0,I20&lt;=Inputs!$D$10),$D$11,0)</f>
        <v>0</v>
      </c>
      <c r="J27" s="30">
        <f>IF(AND(J20&gt;0,J20&lt;=Inputs!$D$10),$D$11,0)</f>
        <v>0</v>
      </c>
      <c r="K27" s="30">
        <f>IF(AND(K20&gt;0,K20&lt;=Inputs!$D$10),$D$11,0)</f>
        <v>0</v>
      </c>
      <c r="L27" s="30">
        <f>IF(AND(L20&gt;0,L20&lt;=Inputs!$D$10),$D$11,0)</f>
        <v>0</v>
      </c>
      <c r="M27" s="30">
        <f>IF(AND(M20&gt;0,M20&lt;=Inputs!$D$10),$D$11,0)</f>
        <v>0</v>
      </c>
      <c r="N27" s="30">
        <f>IF(AND(N20&gt;0,N20&lt;=Inputs!$D$10),$D$11,0)</f>
        <v>0</v>
      </c>
      <c r="O27" s="30">
        <f>IF(AND(O20&gt;0,O20&lt;=Inputs!$D$10),$D$11,0)</f>
        <v>0</v>
      </c>
      <c r="P27" s="30">
        <f>IF(AND(P20&gt;0,P20&lt;=Inputs!$D$10),$D$11,0)</f>
        <v>0</v>
      </c>
      <c r="Q27" s="30">
        <f>IF(AND(Q20&gt;0,Q20&lt;=Inputs!$D$10),$D$11,0)</f>
        <v>0</v>
      </c>
      <c r="R27" s="30">
        <f>IF(AND(R20&gt;0,R20&lt;=Inputs!$D$10),$D$11,0)</f>
        <v>0</v>
      </c>
      <c r="S27" s="30">
        <f>IF(AND(S20&gt;0,S20&lt;=Inputs!$D$10),$D$11,0)</f>
        <v>0</v>
      </c>
      <c r="T27" s="30">
        <f>IF(AND(T20&gt;0,T20&lt;=Inputs!$D$10),$D$11,0)</f>
        <v>0</v>
      </c>
      <c r="U27" s="30">
        <f>IF(AND(U20&gt;0,U20&lt;=Inputs!$D$10),$D$11,0)</f>
        <v>0</v>
      </c>
      <c r="V27" s="30">
        <f>IF(AND(V20&gt;0,V20&lt;=Inputs!$D$10),$D$11,0)</f>
        <v>0</v>
      </c>
      <c r="W27" s="30">
        <f>IF(AND(W20&gt;0,W20&lt;=Inputs!$D$10),$D$11,0)</f>
        <v>0</v>
      </c>
      <c r="X27" s="30">
        <f>IF(AND(X20&gt;0,X20&lt;=Inputs!$D$10),$D$11,0)</f>
        <v>0</v>
      </c>
      <c r="Y27" s="30">
        <f>IF(AND(Y20&gt;0,Y20&lt;=Inputs!$D$10),$D$11,0)</f>
        <v>0</v>
      </c>
      <c r="Z27" s="30">
        <f>IF(AND(Z20&gt;0,Z20&lt;=Inputs!$D$10),$D$11,0)</f>
        <v>0</v>
      </c>
    </row>
    <row r="28" spans="1:26" x14ac:dyDescent="0.25">
      <c r="B28" s="210" t="str">
        <f>IF(Inputs!D2="Metric","Procesing Residues Landfilled (MTPY)", "Procesing Residues Landfilled (TPY)")</f>
        <v>Procesing Residues Landfilled (TPY)</v>
      </c>
      <c r="D28" s="30">
        <f>D27*Inputs!$D$20</f>
        <v>0</v>
      </c>
      <c r="E28" s="30">
        <f>E27*Inputs!$D$20</f>
        <v>0</v>
      </c>
      <c r="F28" s="30">
        <f>F27*Inputs!$D$20</f>
        <v>0</v>
      </c>
      <c r="G28" s="30">
        <f>G27*Inputs!$D$20</f>
        <v>0</v>
      </c>
      <c r="H28" s="30">
        <f>H27*Inputs!$D$20</f>
        <v>0</v>
      </c>
      <c r="I28" s="30">
        <f>I27*Inputs!$D$20</f>
        <v>0</v>
      </c>
      <c r="J28" s="30">
        <f>J27*Inputs!$D$20</f>
        <v>0</v>
      </c>
      <c r="K28" s="30">
        <f>K27*Inputs!$D$20</f>
        <v>0</v>
      </c>
      <c r="L28" s="30">
        <f>L27*Inputs!$D$20</f>
        <v>0</v>
      </c>
      <c r="M28" s="30">
        <f>M27*Inputs!$D$20</f>
        <v>0</v>
      </c>
      <c r="N28" s="30">
        <f>N27*Inputs!$D$20</f>
        <v>0</v>
      </c>
      <c r="O28" s="30">
        <f>O27*Inputs!$D$20</f>
        <v>0</v>
      </c>
      <c r="P28" s="30">
        <f>P27*Inputs!$D$20</f>
        <v>0</v>
      </c>
      <c r="Q28" s="30">
        <f>Q27*Inputs!$D$20</f>
        <v>0</v>
      </c>
      <c r="R28" s="30">
        <f>R27*Inputs!$D$20</f>
        <v>0</v>
      </c>
      <c r="S28" s="30">
        <f>S27*Inputs!$D$20</f>
        <v>0</v>
      </c>
      <c r="T28" s="30">
        <f>T27*Inputs!$D$20</f>
        <v>0</v>
      </c>
      <c r="U28" s="30">
        <f>U27*Inputs!$D$20</f>
        <v>0</v>
      </c>
      <c r="V28" s="30">
        <f>V27*Inputs!$D$20</f>
        <v>0</v>
      </c>
      <c r="W28" s="30">
        <f>W27*Inputs!$D$20</f>
        <v>0</v>
      </c>
      <c r="X28" s="30">
        <f>X27*Inputs!$D$20</f>
        <v>0</v>
      </c>
      <c r="Y28" s="30">
        <f>Y27*Inputs!$D$20</f>
        <v>0</v>
      </c>
      <c r="Z28" s="30">
        <f>Z27*Inputs!$D$20</f>
        <v>0</v>
      </c>
    </row>
    <row r="29" spans="1:26" x14ac:dyDescent="0.25">
      <c r="B29" s="210" t="str">
        <f>IF(Inputs!D2="Metric","Procesing Residues Sold/Given Away (MTPY)", "Procesing Residues Sold/Given Away (TPY)")</f>
        <v>Procesing Residues Sold/Given Away (TPY)</v>
      </c>
      <c r="D29" s="30">
        <f>D27*Inputs!$D$21</f>
        <v>0</v>
      </c>
      <c r="E29" s="30">
        <f>E27*Inputs!$D$21</f>
        <v>0</v>
      </c>
      <c r="F29" s="30">
        <f>F27*Inputs!$D$21</f>
        <v>0</v>
      </c>
      <c r="G29" s="30">
        <f>G27*Inputs!$D$21</f>
        <v>0</v>
      </c>
      <c r="H29" s="30">
        <f>H27*Inputs!$D$21</f>
        <v>0</v>
      </c>
      <c r="I29" s="30">
        <f>I27*Inputs!$D$21</f>
        <v>0</v>
      </c>
      <c r="J29" s="30">
        <f>J27*Inputs!$D$21</f>
        <v>0</v>
      </c>
      <c r="K29" s="30">
        <f>K27*Inputs!$D$21</f>
        <v>0</v>
      </c>
      <c r="L29" s="30">
        <f>L27*Inputs!$D$21</f>
        <v>0</v>
      </c>
      <c r="M29" s="30">
        <f>M27*Inputs!$D$21</f>
        <v>0</v>
      </c>
      <c r="N29" s="30">
        <f>N27*Inputs!$D$21</f>
        <v>0</v>
      </c>
      <c r="O29" s="30">
        <f>O27*Inputs!$D$21</f>
        <v>0</v>
      </c>
      <c r="P29" s="30">
        <f>P27*Inputs!$D$21</f>
        <v>0</v>
      </c>
      <c r="Q29" s="30">
        <f>Q27*Inputs!$D$21</f>
        <v>0</v>
      </c>
      <c r="R29" s="30">
        <f>R27*Inputs!$D$21</f>
        <v>0</v>
      </c>
      <c r="S29" s="30">
        <f>S27*Inputs!$D$21</f>
        <v>0</v>
      </c>
      <c r="T29" s="30">
        <f>T27*Inputs!$D$21</f>
        <v>0</v>
      </c>
      <c r="U29" s="30">
        <f>U27*Inputs!$D$21</f>
        <v>0</v>
      </c>
      <c r="V29" s="30">
        <f>V27*Inputs!$D$21</f>
        <v>0</v>
      </c>
      <c r="W29" s="30">
        <f>W27*Inputs!$D$21</f>
        <v>0</v>
      </c>
      <c r="X29" s="30">
        <f>X27*Inputs!$D$21</f>
        <v>0</v>
      </c>
      <c r="Y29" s="30">
        <f>Y27*Inputs!$D$21</f>
        <v>0</v>
      </c>
      <c r="Z29" s="30">
        <f>Z27*Inputs!$D$21</f>
        <v>0</v>
      </c>
    </row>
    <row r="31" spans="1:26" x14ac:dyDescent="0.25">
      <c r="B31" s="31" t="s">
        <v>107</v>
      </c>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x14ac:dyDescent="0.25">
      <c r="B32" t="str">
        <f>IF(Inputs!D2="Metric","Water Consumption/Year (1,000 Liters)","Water Consumption/Year (1,000 Gallons)")</f>
        <v>Water Consumption/Year (1,000 Gallons)</v>
      </c>
      <c r="D32" s="30">
        <f>IF(AND(D20&gt;0,D20&lt;=Inputs!$D$10),Inputs!$D$28*D22,0)</f>
        <v>0</v>
      </c>
      <c r="E32" s="30">
        <f>IF(AND(E20&gt;0,E20&lt;=Inputs!$D$10),Inputs!$D$28*E22,0)</f>
        <v>0</v>
      </c>
      <c r="F32" s="30">
        <f>IF(AND(F20&gt;0,F20&lt;=Inputs!$D$10),Inputs!$D$28*F22,0)</f>
        <v>0</v>
      </c>
      <c r="G32" s="30">
        <f>IF(AND(G20&gt;0,G20&lt;=Inputs!$D$10),Inputs!$D$28*G22,0)</f>
        <v>0</v>
      </c>
      <c r="H32" s="30">
        <f>IF(AND(H20&gt;0,H20&lt;=Inputs!$D$10),Inputs!$D$28*H22,0)</f>
        <v>0</v>
      </c>
      <c r="I32" s="30">
        <f>IF(AND(I20&gt;0,I20&lt;=Inputs!$D$10),Inputs!$D$28*I22,0)</f>
        <v>0</v>
      </c>
      <c r="J32" s="30">
        <f>IF(AND(J20&gt;0,J20&lt;=Inputs!$D$10),Inputs!$D$28*J22,0)</f>
        <v>0</v>
      </c>
      <c r="K32" s="30">
        <f>IF(AND(K20&gt;0,K20&lt;=Inputs!$D$10),Inputs!$D$28*K22,0)</f>
        <v>0</v>
      </c>
      <c r="L32" s="30">
        <f>IF(AND(L20&gt;0,L20&lt;=Inputs!$D$10),Inputs!$D$28*L22,0)</f>
        <v>0</v>
      </c>
      <c r="M32" s="30">
        <f>IF(AND(M20&gt;0,M20&lt;=Inputs!$D$10),Inputs!$D$28*M22,0)</f>
        <v>0</v>
      </c>
      <c r="N32" s="30">
        <f>IF(AND(N20&gt;0,N20&lt;=Inputs!$D$10),Inputs!$D$28*N22,0)</f>
        <v>0</v>
      </c>
      <c r="O32" s="30">
        <f>IF(AND(O20&gt;0,O20&lt;=Inputs!$D$10),Inputs!$D$28*O22,0)</f>
        <v>0</v>
      </c>
      <c r="P32" s="30">
        <f>IF(AND(P20&gt;0,P20&lt;=Inputs!$D$10),Inputs!$D$28*P22,0)</f>
        <v>0</v>
      </c>
      <c r="Q32" s="30">
        <f>IF(AND(Q20&gt;0,Q20&lt;=Inputs!$D$10),Inputs!$D$28*Q22,0)</f>
        <v>0</v>
      </c>
      <c r="R32" s="30">
        <f>IF(AND(R20&gt;0,R20&lt;=Inputs!$D$10),Inputs!$D$28*R22,0)</f>
        <v>0</v>
      </c>
      <c r="S32" s="30">
        <f>IF(AND(S20&gt;0,S20&lt;=Inputs!$D$10),Inputs!$D$28*S22,0)</f>
        <v>0</v>
      </c>
      <c r="T32" s="30">
        <f>IF(AND(T20&gt;0,T20&lt;=Inputs!$D$10),Inputs!$D$28*T22,0)</f>
        <v>0</v>
      </c>
      <c r="U32" s="30">
        <f>IF(AND(U20&gt;0,U20&lt;=Inputs!$D$10),Inputs!$D$28*U22,0)</f>
        <v>0</v>
      </c>
      <c r="V32" s="30">
        <f>IF(AND(V20&gt;0,V20&lt;=Inputs!$D$10),Inputs!$D$28*V22,0)</f>
        <v>0</v>
      </c>
      <c r="W32" s="30">
        <f>IF(AND(W20&gt;0,W20&lt;=Inputs!$D$10),Inputs!$D$28*W22,0)</f>
        <v>0</v>
      </c>
      <c r="X32" s="30">
        <f>IF(AND(X20&gt;0,X20&lt;=Inputs!$D$10),Inputs!$D$28*X22,0)</f>
        <v>0</v>
      </c>
      <c r="Y32" s="30">
        <f>IF(AND(Y20&gt;0,Y20&lt;=Inputs!$D$10),Inputs!$D$28*Y22,0)</f>
        <v>0</v>
      </c>
      <c r="Z32" s="30">
        <f>IF(AND(Z20&gt;0,Z20&lt;=Inputs!$D$10),Inputs!$D$28*Z22,0)</f>
        <v>0</v>
      </c>
    </row>
    <row r="33" spans="2:26" x14ac:dyDescent="0.25">
      <c r="B33" t="s">
        <v>108</v>
      </c>
      <c r="D33" s="30">
        <f>IF(AND(D20&gt;0,D20&lt;=Inputs!$D$10),Inputs!$D$26*D22,0)</f>
        <v>0</v>
      </c>
      <c r="E33" s="30">
        <f>IF(AND(E20&gt;0,E20&lt;=Inputs!$D$10),Inputs!$D$26*E22,0)</f>
        <v>0</v>
      </c>
      <c r="F33" s="30">
        <f>IF(AND(F20&gt;0,F20&lt;=Inputs!$D$10),Inputs!$D$26*F22,0)</f>
        <v>0</v>
      </c>
      <c r="G33" s="30">
        <f>IF(AND(G20&gt;0,G20&lt;=Inputs!$D$10),Inputs!$D$26*G22,0)</f>
        <v>0</v>
      </c>
      <c r="H33" s="30">
        <f>IF(AND(H20&gt;0,H20&lt;=Inputs!$D$10),Inputs!$D$26*H22,0)</f>
        <v>0</v>
      </c>
      <c r="I33" s="30">
        <f>IF(AND(I20&gt;0,I20&lt;=Inputs!$D$10),Inputs!$D$26*I22,0)</f>
        <v>0</v>
      </c>
      <c r="J33" s="30">
        <f>IF(AND(J20&gt;0,J20&lt;=Inputs!$D$10),Inputs!$D$26*J22,0)</f>
        <v>0</v>
      </c>
      <c r="K33" s="30">
        <f>IF(AND(K20&gt;0,K20&lt;=Inputs!$D$10),Inputs!$D$26*K22,0)</f>
        <v>0</v>
      </c>
      <c r="L33" s="30">
        <f>IF(AND(L20&gt;0,L20&lt;=Inputs!$D$10),Inputs!$D$26*L22,0)</f>
        <v>0</v>
      </c>
      <c r="M33" s="30">
        <f>IF(AND(M20&gt;0,M20&lt;=Inputs!$D$10),Inputs!$D$26*M22,0)</f>
        <v>0</v>
      </c>
      <c r="N33" s="30">
        <f>IF(AND(N20&gt;0,N20&lt;=Inputs!$D$10),Inputs!$D$26*N22,0)</f>
        <v>0</v>
      </c>
      <c r="O33" s="30">
        <f>IF(AND(O20&gt;0,O20&lt;=Inputs!$D$10),Inputs!$D$26*O22,0)</f>
        <v>0</v>
      </c>
      <c r="P33" s="30">
        <f>IF(AND(P20&gt;0,P20&lt;=Inputs!$D$10),Inputs!$D$26*P22,0)</f>
        <v>0</v>
      </c>
      <c r="Q33" s="30">
        <f>IF(AND(Q20&gt;0,Q20&lt;=Inputs!$D$10),Inputs!$D$26*Q22,0)</f>
        <v>0</v>
      </c>
      <c r="R33" s="30">
        <f>IF(AND(R20&gt;0,R20&lt;=Inputs!$D$10),Inputs!$D$26*R22,0)</f>
        <v>0</v>
      </c>
      <c r="S33" s="30">
        <f>IF(AND(S20&gt;0,S20&lt;=Inputs!$D$10),Inputs!$D$26*S22,0)</f>
        <v>0</v>
      </c>
      <c r="T33" s="30">
        <f>IF(AND(T20&gt;0,T20&lt;=Inputs!$D$10),Inputs!$D$26*T22,0)</f>
        <v>0</v>
      </c>
      <c r="U33" s="30">
        <f>IF(AND(U20&gt;0,U20&lt;=Inputs!$D$10),Inputs!$D$26*U22,0)</f>
        <v>0</v>
      </c>
      <c r="V33" s="30">
        <f>IF(AND(V20&gt;0,V20&lt;=Inputs!$D$10),Inputs!$D$26*V22,0)</f>
        <v>0</v>
      </c>
      <c r="W33" s="30">
        <f>IF(AND(W20&gt;0,W20&lt;=Inputs!$D$10),Inputs!$D$26*W22,0)</f>
        <v>0</v>
      </c>
      <c r="X33" s="30">
        <f>IF(AND(X20&gt;0,X20&lt;=Inputs!$D$10),Inputs!$D$26*X22,0)</f>
        <v>0</v>
      </c>
      <c r="Y33" s="30">
        <f>IF(AND(Y20&gt;0,Y20&lt;=Inputs!$D$10),Inputs!$D$26*Y22,0)</f>
        <v>0</v>
      </c>
      <c r="Z33" s="30">
        <f>IF(AND(Z20&gt;0,Z20&lt;=Inputs!$D$10),Inputs!$D$26*Z22,0)</f>
        <v>0</v>
      </c>
    </row>
    <row r="34" spans="2:26" x14ac:dyDescent="0.25">
      <c r="B34" t="str">
        <f>IF(Inputs!D2="Metric","Catalyst Consumption/Year (kg)","Catalyst Consumption/Year (lb)")</f>
        <v>Catalyst Consumption/Year (lb)</v>
      </c>
      <c r="D34" s="30">
        <f>IF(AND(D20&gt;0,D20&lt;=Inputs!$D$10),Inputs!$D$29*D23,0)</f>
        <v>0</v>
      </c>
      <c r="E34" s="30">
        <f>IF(AND(E20&gt;0,E20&lt;=Inputs!$D$10),Inputs!$D$29*E23,0)</f>
        <v>0</v>
      </c>
      <c r="F34" s="30">
        <f>IF(AND(F20&gt;0,F20&lt;=Inputs!$D$10),Inputs!$D$29*F23,0)</f>
        <v>0</v>
      </c>
      <c r="G34" s="30">
        <f>IF(AND(G20&gt;0,G20&lt;=Inputs!$D$10),Inputs!$D$29*G23,0)</f>
        <v>0</v>
      </c>
      <c r="H34" s="30">
        <f>IF(AND(H20&gt;0,H20&lt;=Inputs!$D$10),Inputs!$D$29*H23,0)</f>
        <v>0</v>
      </c>
      <c r="I34" s="30">
        <f>IF(AND(I20&gt;0,I20&lt;=Inputs!$D$10),Inputs!$D$29*I23,0)</f>
        <v>0</v>
      </c>
      <c r="J34" s="30">
        <f>IF(AND(J20&gt;0,J20&lt;=Inputs!$D$10),Inputs!$D$29*J23,0)</f>
        <v>0</v>
      </c>
      <c r="K34" s="30">
        <f>IF(AND(K20&gt;0,K20&lt;=Inputs!$D$10),Inputs!$D$29*K23,0)</f>
        <v>0</v>
      </c>
      <c r="L34" s="30">
        <f>IF(AND(L20&gt;0,L20&lt;=Inputs!$D$10),Inputs!$D$29*L23,0)</f>
        <v>0</v>
      </c>
      <c r="M34" s="30">
        <f>IF(AND(M20&gt;0,M20&lt;=Inputs!$D$10),Inputs!$D$29*M23,0)</f>
        <v>0</v>
      </c>
      <c r="N34" s="30">
        <f>IF(AND(N20&gt;0,N20&lt;=Inputs!$D$10),Inputs!$D$29*N23,0)</f>
        <v>0</v>
      </c>
      <c r="O34" s="30">
        <f>IF(AND(O20&gt;0,O20&lt;=Inputs!$D$10),Inputs!$D$29*O23,0)</f>
        <v>0</v>
      </c>
      <c r="P34" s="30">
        <f>IF(AND(P20&gt;0,P20&lt;=Inputs!$D$10),Inputs!$D$29*P23,0)</f>
        <v>0</v>
      </c>
      <c r="Q34" s="30">
        <f>IF(AND(Q20&gt;0,Q20&lt;=Inputs!$D$10),Inputs!$D$29*Q23,0)</f>
        <v>0</v>
      </c>
      <c r="R34" s="30">
        <f>IF(AND(R20&gt;0,R20&lt;=Inputs!$D$10),Inputs!$D$29*R23,0)</f>
        <v>0</v>
      </c>
      <c r="S34" s="30">
        <f>IF(AND(S20&gt;0,S20&lt;=Inputs!$D$10),Inputs!$D$29*S23,0)</f>
        <v>0</v>
      </c>
      <c r="T34" s="30">
        <f>IF(AND(T20&gt;0,T20&lt;=Inputs!$D$10),Inputs!$D$29*T23,0)</f>
        <v>0</v>
      </c>
      <c r="U34" s="30">
        <f>IF(AND(U20&gt;0,U20&lt;=Inputs!$D$10),Inputs!$D$29*U23,0)</f>
        <v>0</v>
      </c>
      <c r="V34" s="30">
        <f>IF(AND(V20&gt;0,V20&lt;=Inputs!$D$10),Inputs!$D$29*V23,0)</f>
        <v>0</v>
      </c>
      <c r="W34" s="30">
        <f>IF(AND(W20&gt;0,W20&lt;=Inputs!$D$10),Inputs!$D$29*W23,0)</f>
        <v>0</v>
      </c>
      <c r="X34" s="30">
        <f>IF(AND(X20&gt;0,X20&lt;=Inputs!$D$10),Inputs!$D$29*X23,0)</f>
        <v>0</v>
      </c>
      <c r="Y34" s="30">
        <f>IF(AND(Y20&gt;0,Y20&lt;=Inputs!$D$10),Inputs!$D$29*Y23,0)</f>
        <v>0</v>
      </c>
      <c r="Z34" s="30">
        <f>IF(AND(Z20&gt;0,Z20&lt;=Inputs!$D$10),Inputs!$D$29*Z23,0)</f>
        <v>0</v>
      </c>
    </row>
    <row r="35" spans="2:26" x14ac:dyDescent="0.25">
      <c r="B35" t="str">
        <f>IF(Inputs!D2="Metric","Synthetic Crude Oil Production/Year (Liters)","Synthetic Crude Oil Production/Year (Gallons)")</f>
        <v>Synthetic Crude Oil Production/Year (Gallons)</v>
      </c>
      <c r="D35" s="30">
        <f>IF(AND(D20&gt;0,D20&lt;=Inputs!$D$10),Inputs!$D$31*D23,0)</f>
        <v>0</v>
      </c>
      <c r="E35" s="30">
        <f>IF(AND(E20&gt;0,E20&lt;=Inputs!$D$10),Inputs!$D$31*E23,0)</f>
        <v>0</v>
      </c>
      <c r="F35" s="30">
        <f>IF(AND(F20&gt;0,F20&lt;=Inputs!$D$10),Inputs!$D$31*F23,0)</f>
        <v>0</v>
      </c>
      <c r="G35" s="30">
        <f>IF(AND(G20&gt;0,G20&lt;=Inputs!$D$10),Inputs!$D$31*G23,0)</f>
        <v>0</v>
      </c>
      <c r="H35" s="30">
        <f>IF(AND(H20&gt;0,H20&lt;=Inputs!$D$10),Inputs!$D$31*H23,0)</f>
        <v>0</v>
      </c>
      <c r="I35" s="30">
        <f>IF(AND(I20&gt;0,I20&lt;=Inputs!$D$10),Inputs!$D$31*I23,0)</f>
        <v>0</v>
      </c>
      <c r="J35" s="30">
        <f>IF(AND(J20&gt;0,J20&lt;=Inputs!$D$10),Inputs!$D$31*J23,0)</f>
        <v>0</v>
      </c>
      <c r="K35" s="30">
        <f>IF(AND(K20&gt;0,K20&lt;=Inputs!$D$10),Inputs!$D$31*K23,0)</f>
        <v>0</v>
      </c>
      <c r="L35" s="30">
        <f>IF(AND(L20&gt;0,L20&lt;=Inputs!$D$10),Inputs!$D$31*L23,0)</f>
        <v>0</v>
      </c>
      <c r="M35" s="30">
        <f>IF(AND(M20&gt;0,M20&lt;=Inputs!$D$10),Inputs!$D$31*M23,0)</f>
        <v>0</v>
      </c>
      <c r="N35" s="30">
        <f>IF(AND(N20&gt;0,N20&lt;=Inputs!$D$10),Inputs!$D$31*N23,0)</f>
        <v>0</v>
      </c>
      <c r="O35" s="30">
        <f>IF(AND(O20&gt;0,O20&lt;=Inputs!$D$10),Inputs!$D$31*O23,0)</f>
        <v>0</v>
      </c>
      <c r="P35" s="30">
        <f>IF(AND(P20&gt;0,P20&lt;=Inputs!$D$10),Inputs!$D$31*P23,0)</f>
        <v>0</v>
      </c>
      <c r="Q35" s="30">
        <f>IF(AND(Q20&gt;0,Q20&lt;=Inputs!$D$10),Inputs!$D$31*Q23,0)</f>
        <v>0</v>
      </c>
      <c r="R35" s="30">
        <f>IF(AND(R20&gt;0,R20&lt;=Inputs!$D$10),Inputs!$D$31*R23,0)</f>
        <v>0</v>
      </c>
      <c r="S35" s="30">
        <f>IF(AND(S20&gt;0,S20&lt;=Inputs!$D$10),Inputs!$D$31*S23,0)</f>
        <v>0</v>
      </c>
      <c r="T35" s="30">
        <f>IF(AND(T20&gt;0,T20&lt;=Inputs!$D$10),Inputs!$D$31*T23,0)</f>
        <v>0</v>
      </c>
      <c r="U35" s="30">
        <f>IF(AND(U20&gt;0,U20&lt;=Inputs!$D$10),Inputs!$D$31*U23,0)</f>
        <v>0</v>
      </c>
      <c r="V35" s="30">
        <f>IF(AND(V20&gt;0,V20&lt;=Inputs!$D$10),Inputs!$D$31*V23,0)</f>
        <v>0</v>
      </c>
      <c r="W35" s="30">
        <f>IF(AND(W20&gt;0,W20&lt;=Inputs!$D$10),Inputs!$D$31*W23,0)</f>
        <v>0</v>
      </c>
      <c r="X35" s="30">
        <f>IF(AND(X20&gt;0,X20&lt;=Inputs!$D$10),Inputs!$D$31*X23,0)</f>
        <v>0</v>
      </c>
      <c r="Y35" s="30">
        <f>IF(AND(Y20&gt;0,Y20&lt;=Inputs!$D$10),Inputs!$D$31*Y23,0)</f>
        <v>0</v>
      </c>
      <c r="Z35" s="30">
        <f>IF(AND(Z20&gt;0,Z20&lt;=Inputs!$D$10),Inputs!$D$31*Z23,0)</f>
        <v>0</v>
      </c>
    </row>
    <row r="36" spans="2:26" x14ac:dyDescent="0.25">
      <c r="B36" t="s">
        <v>141</v>
      </c>
      <c r="D36" s="30">
        <f>IF(Inputs!$D$2="Metric",(D35/Inputs!$D$90),(D35/Inputs!$D$89))</f>
        <v>0</v>
      </c>
      <c r="E36" s="30">
        <f>IF(Inputs!$D$2="Metric",(E35/Inputs!$D$90),(E35/Inputs!$D$89))</f>
        <v>0</v>
      </c>
      <c r="F36" s="30">
        <f>IF(Inputs!$D$2="Metric",(F35/Inputs!$D$90),(F35/Inputs!$D$89))</f>
        <v>0</v>
      </c>
      <c r="G36" s="30">
        <f>IF(Inputs!$D$2="Metric",(G35/Inputs!$D$90),(G35/Inputs!$D$89))</f>
        <v>0</v>
      </c>
      <c r="H36" s="30">
        <f>IF(Inputs!$D$2="Metric",(H35/Inputs!$D$90),(H35/Inputs!$D$89))</f>
        <v>0</v>
      </c>
      <c r="I36" s="30">
        <f>IF(Inputs!$D$2="Metric",(I35/Inputs!$D$90),(I35/Inputs!$D$89))</f>
        <v>0</v>
      </c>
      <c r="J36" s="30">
        <f>IF(Inputs!$D$2="Metric",(J35/Inputs!$D$90),(J35/Inputs!$D$89))</f>
        <v>0</v>
      </c>
      <c r="K36" s="30">
        <f>IF(Inputs!$D$2="Metric",(K35/Inputs!$D$90),(K35/Inputs!$D$89))</f>
        <v>0</v>
      </c>
      <c r="L36" s="30">
        <f>IF(Inputs!$D$2="Metric",(L35/Inputs!$D$90),(L35/Inputs!$D$89))</f>
        <v>0</v>
      </c>
      <c r="M36" s="30">
        <f>IF(Inputs!$D$2="Metric",(M35/Inputs!$D$90),(M35/Inputs!$D$89))</f>
        <v>0</v>
      </c>
      <c r="N36" s="30">
        <f>IF(Inputs!$D$2="Metric",(N35/Inputs!$D$90),(N35/Inputs!$D$89))</f>
        <v>0</v>
      </c>
      <c r="O36" s="30">
        <f>IF(Inputs!$D$2="Metric",(O35/Inputs!$D$90),(O35/Inputs!$D$89))</f>
        <v>0</v>
      </c>
      <c r="P36" s="30">
        <f>IF(Inputs!$D$2="Metric",(P35/Inputs!$D$90),(P35/Inputs!$D$89))</f>
        <v>0</v>
      </c>
      <c r="Q36" s="30">
        <f>IF(Inputs!$D$2="Metric",(Q35/Inputs!$D$90),(Q35/Inputs!$D$89))</f>
        <v>0</v>
      </c>
      <c r="R36" s="30">
        <f>IF(Inputs!$D$2="Metric",(R35/Inputs!$D$90),(R35/Inputs!$D$89))</f>
        <v>0</v>
      </c>
      <c r="S36" s="30">
        <f>IF(Inputs!$D$2="Metric",(S35/Inputs!$D$90),(S35/Inputs!$D$89))</f>
        <v>0</v>
      </c>
      <c r="T36" s="30">
        <f>IF(Inputs!$D$2="Metric",(T35/Inputs!$D$90),(T35/Inputs!$D$89))</f>
        <v>0</v>
      </c>
      <c r="U36" s="30">
        <f>IF(Inputs!$D$2="Metric",(U35/Inputs!$D$90),(U35/Inputs!$D$89))</f>
        <v>0</v>
      </c>
      <c r="V36" s="30">
        <f>IF(Inputs!$D$2="Metric",(V35/Inputs!$D$90),(V35/Inputs!$D$89))</f>
        <v>0</v>
      </c>
      <c r="W36" s="30">
        <f>IF(Inputs!$D$2="Metric",(W35/Inputs!$D$90),(W35/Inputs!$D$89))</f>
        <v>0</v>
      </c>
      <c r="X36" s="30">
        <f>IF(Inputs!$D$2="Metric",(X35/Inputs!$D$90),(X35/Inputs!$D$89))</f>
        <v>0</v>
      </c>
      <c r="Y36" s="30">
        <f>IF(Inputs!$D$2="Metric",(Y35/Inputs!$D$90),(Y35/Inputs!$D$89))</f>
        <v>0</v>
      </c>
      <c r="Z36" s="30">
        <f>IF(Inputs!$D$2="Metric",(Z35/Inputs!$D$90),(Z35/Inputs!$D$89))</f>
        <v>0</v>
      </c>
    </row>
    <row r="37" spans="2:26" x14ac:dyDescent="0.25">
      <c r="B37" t="str">
        <f>IF(Inputs!D2="Metric","Middle Distillate Production/Year (Liters)","Middle Distillate Production/Year (Gallons)")</f>
        <v>Middle Distillate Production/Year (Gallons)</v>
      </c>
      <c r="D37" s="30">
        <f>IF(AND(D20&gt;0,D20&lt;=Inputs!$D$10),Inputs!$D$32*D23,0)</f>
        <v>0</v>
      </c>
      <c r="E37" s="30">
        <f>IF(AND(E20&gt;0,E20&lt;=Inputs!$D$10),Inputs!$D$32*E23,0)</f>
        <v>0</v>
      </c>
      <c r="F37" s="30">
        <f>IF(AND(F20&gt;0,F20&lt;=Inputs!$D$10),Inputs!$D$32*F23,0)</f>
        <v>0</v>
      </c>
      <c r="G37" s="30">
        <f>IF(AND(G20&gt;0,G20&lt;=Inputs!$D$10),Inputs!$D$32*G23,0)</f>
        <v>0</v>
      </c>
      <c r="H37" s="30">
        <f>IF(AND(H20&gt;0,H20&lt;=Inputs!$D$10),Inputs!$D$32*H23,0)</f>
        <v>0</v>
      </c>
      <c r="I37" s="30">
        <f>IF(AND(I20&gt;0,I20&lt;=Inputs!$D$10),Inputs!$D$32*I23,0)</f>
        <v>0</v>
      </c>
      <c r="J37" s="30">
        <f>IF(AND(J20&gt;0,J20&lt;=Inputs!$D$10),Inputs!$D$32*J23,0)</f>
        <v>0</v>
      </c>
      <c r="K37" s="30">
        <f>IF(AND(K20&gt;0,K20&lt;=Inputs!$D$10),Inputs!$D$32*K23,0)</f>
        <v>0</v>
      </c>
      <c r="L37" s="30">
        <f>IF(AND(L20&gt;0,L20&lt;=Inputs!$D$10),Inputs!$D$32*L23,0)</f>
        <v>0</v>
      </c>
      <c r="M37" s="30">
        <f>IF(AND(M20&gt;0,M20&lt;=Inputs!$D$10),Inputs!$D$32*M23,0)</f>
        <v>0</v>
      </c>
      <c r="N37" s="30">
        <f>IF(AND(N20&gt;0,N20&lt;=Inputs!$D$10),Inputs!$D$32*N23,0)</f>
        <v>0</v>
      </c>
      <c r="O37" s="30">
        <f>IF(AND(O20&gt;0,O20&lt;=Inputs!$D$10),Inputs!$D$32*O23,0)</f>
        <v>0</v>
      </c>
      <c r="P37" s="30">
        <f>IF(AND(P20&gt;0,P20&lt;=Inputs!$D$10),Inputs!$D$32*P23,0)</f>
        <v>0</v>
      </c>
      <c r="Q37" s="30">
        <f>IF(AND(Q20&gt;0,Q20&lt;=Inputs!$D$10),Inputs!$D$32*Q23,0)</f>
        <v>0</v>
      </c>
      <c r="R37" s="30">
        <f>IF(AND(R20&gt;0,R20&lt;=Inputs!$D$10),Inputs!$D$32*R23,0)</f>
        <v>0</v>
      </c>
      <c r="S37" s="30">
        <f>IF(AND(S20&gt;0,S20&lt;=Inputs!$D$10),Inputs!$D$32*S23,0)</f>
        <v>0</v>
      </c>
      <c r="T37" s="30">
        <f>IF(AND(T20&gt;0,T20&lt;=Inputs!$D$10),Inputs!$D$32*T23,0)</f>
        <v>0</v>
      </c>
      <c r="U37" s="30">
        <f>IF(AND(U20&gt;0,U20&lt;=Inputs!$D$10),Inputs!$D$32*U23,0)</f>
        <v>0</v>
      </c>
      <c r="V37" s="30">
        <f>IF(AND(V20&gt;0,V20&lt;=Inputs!$D$10),Inputs!$D$32*V23,0)</f>
        <v>0</v>
      </c>
      <c r="W37" s="30">
        <f>IF(AND(W20&gt;0,W20&lt;=Inputs!$D$10),Inputs!$D$32*W23,0)</f>
        <v>0</v>
      </c>
      <c r="X37" s="30">
        <f>IF(AND(X20&gt;0,X20&lt;=Inputs!$D$10),Inputs!$D$32*X23,0)</f>
        <v>0</v>
      </c>
      <c r="Y37" s="30">
        <f>IF(AND(Y20&gt;0,Y20&lt;=Inputs!$D$10),Inputs!$D$32*Y23,0)</f>
        <v>0</v>
      </c>
      <c r="Z37" s="30">
        <f>IF(AND(Z20&gt;0,Z20&lt;=Inputs!$D$10),Inputs!$D$32*Z23,0)</f>
        <v>0</v>
      </c>
    </row>
    <row r="38" spans="2:26" x14ac:dyDescent="0.25">
      <c r="B38" t="s">
        <v>65</v>
      </c>
      <c r="D38" s="30">
        <f>IF(Inputs!$D$2="Metric",(D37/Inputs!$D$90),(D37/Inputs!$D$89))</f>
        <v>0</v>
      </c>
      <c r="E38" s="30">
        <f>IF(Inputs!$D$2="Metric",(E37/Inputs!$D$90),(E37/Inputs!$D$89))</f>
        <v>0</v>
      </c>
      <c r="F38" s="30">
        <f>IF(Inputs!$D$2="Metric",(F37/Inputs!$D$90),(F37/Inputs!$D$89))</f>
        <v>0</v>
      </c>
      <c r="G38" s="30">
        <f>IF(Inputs!$D$2="Metric",(G37/Inputs!$D$90),(G37/Inputs!$D$89))</f>
        <v>0</v>
      </c>
      <c r="H38" s="30">
        <f>IF(Inputs!$D$2="Metric",(H37/Inputs!$D$90),(H37/Inputs!$D$89))</f>
        <v>0</v>
      </c>
      <c r="I38" s="30">
        <f>IF(Inputs!$D$2="Metric",(I37/Inputs!$D$90),(I37/Inputs!$D$89))</f>
        <v>0</v>
      </c>
      <c r="J38" s="30">
        <f>IF(Inputs!$D$2="Metric",(J37/Inputs!$D$90),(J37/Inputs!$D$89))</f>
        <v>0</v>
      </c>
      <c r="K38" s="30">
        <f>IF(Inputs!$D$2="Metric",(K37/Inputs!$D$90),(K37/Inputs!$D$89))</f>
        <v>0</v>
      </c>
      <c r="L38" s="30">
        <f>IF(Inputs!$D$2="Metric",(L37/Inputs!$D$90),(L37/Inputs!$D$89))</f>
        <v>0</v>
      </c>
      <c r="M38" s="30">
        <f>IF(Inputs!$D$2="Metric",(M37/Inputs!$D$90),(M37/Inputs!$D$89))</f>
        <v>0</v>
      </c>
      <c r="N38" s="30">
        <f>IF(Inputs!$D$2="Metric",(N37/Inputs!$D$90),(N37/Inputs!$D$89))</f>
        <v>0</v>
      </c>
      <c r="O38" s="30">
        <f>IF(Inputs!$D$2="Metric",(O37/Inputs!$D$90),(O37/Inputs!$D$89))</f>
        <v>0</v>
      </c>
      <c r="P38" s="30">
        <f>IF(Inputs!$D$2="Metric",(P37/Inputs!$D$90),(P37/Inputs!$D$89))</f>
        <v>0</v>
      </c>
      <c r="Q38" s="30">
        <f>IF(Inputs!$D$2="Metric",(Q37/Inputs!$D$90),(Q37/Inputs!$D$89))</f>
        <v>0</v>
      </c>
      <c r="R38" s="30">
        <f>IF(Inputs!$D$2="Metric",(R37/Inputs!$D$90),(R37/Inputs!$D$89))</f>
        <v>0</v>
      </c>
      <c r="S38" s="30">
        <f>IF(Inputs!$D$2="Metric",(S37/Inputs!$D$90),(S37/Inputs!$D$89))</f>
        <v>0</v>
      </c>
      <c r="T38" s="30">
        <f>IF(Inputs!$D$2="Metric",(T37/Inputs!$D$90),(T37/Inputs!$D$89))</f>
        <v>0</v>
      </c>
      <c r="U38" s="30">
        <f>IF(Inputs!$D$2="Metric",(U37/Inputs!$D$90),(U37/Inputs!$D$89))</f>
        <v>0</v>
      </c>
      <c r="V38" s="30">
        <f>IF(Inputs!$D$2="Metric",(V37/Inputs!$D$90),(V37/Inputs!$D$89))</f>
        <v>0</v>
      </c>
      <c r="W38" s="30">
        <f>IF(Inputs!$D$2="Metric",(W37/Inputs!$D$90),(W37/Inputs!$D$89))</f>
        <v>0</v>
      </c>
      <c r="X38" s="30">
        <f>IF(Inputs!$D$2="Metric",(X37/Inputs!$D$90),(X37/Inputs!$D$89))</f>
        <v>0</v>
      </c>
      <c r="Y38" s="30">
        <f>IF(Inputs!$D$2="Metric",(Y37/Inputs!$D$90),(Y37/Inputs!$D$89))</f>
        <v>0</v>
      </c>
      <c r="Z38" s="30">
        <f>IF(Inputs!$D$2="Metric",(Z37/Inputs!$D$90),(Z37/Inputs!$D$89))</f>
        <v>0</v>
      </c>
    </row>
    <row r="39" spans="2:26" x14ac:dyDescent="0.25">
      <c r="B39" t="str">
        <f>IF(Inputs!D2="Metric","Light Distillate Production/Year (Liters)","Light Distillate Production/Year (Gallons)")</f>
        <v>Light Distillate Production/Year (Gallons)</v>
      </c>
      <c r="D39" s="30">
        <f>IF(AND(D20&gt;0,D20&lt;=Inputs!$D$10),Inputs!$D$33*D23,0)</f>
        <v>0</v>
      </c>
      <c r="E39" s="30">
        <f>IF(AND(E20&gt;0,E20&lt;=Inputs!$D$10),Inputs!$D$33*E23,0)</f>
        <v>0</v>
      </c>
      <c r="F39" s="30">
        <f>IF(AND(F20&gt;0,F20&lt;=Inputs!$D$10),Inputs!$D$33*F23,0)</f>
        <v>0</v>
      </c>
      <c r="G39" s="30">
        <f>IF(AND(G20&gt;0,G20&lt;=Inputs!$D$10),Inputs!$D$33*G23,0)</f>
        <v>0</v>
      </c>
      <c r="H39" s="30">
        <f>IF(AND(H20&gt;0,H20&lt;=Inputs!$D$10),Inputs!$D$33*H23,0)</f>
        <v>0</v>
      </c>
      <c r="I39" s="30">
        <f>IF(AND(I20&gt;0,I20&lt;=Inputs!$D$10),Inputs!$D$33*I23,0)</f>
        <v>0</v>
      </c>
      <c r="J39" s="30">
        <f>IF(AND(J20&gt;0,J20&lt;=Inputs!$D$10),Inputs!$D$33*J23,0)</f>
        <v>0</v>
      </c>
      <c r="K39" s="30">
        <f>IF(AND(K20&gt;0,K20&lt;=Inputs!$D$10),Inputs!$D$33*K23,0)</f>
        <v>0</v>
      </c>
      <c r="L39" s="30">
        <f>IF(AND(L20&gt;0,L20&lt;=Inputs!$D$10),Inputs!$D$33*L23,0)</f>
        <v>0</v>
      </c>
      <c r="M39" s="30">
        <f>IF(AND(M20&gt;0,M20&lt;=Inputs!$D$10),Inputs!$D$33*M23,0)</f>
        <v>0</v>
      </c>
      <c r="N39" s="30">
        <f>IF(AND(N20&gt;0,N20&lt;=Inputs!$D$10),Inputs!$D$33*N23,0)</f>
        <v>0</v>
      </c>
      <c r="O39" s="30">
        <f>IF(AND(O20&gt;0,O20&lt;=Inputs!$D$10),Inputs!$D$33*O23,0)</f>
        <v>0</v>
      </c>
      <c r="P39" s="30">
        <f>IF(AND(P20&gt;0,P20&lt;=Inputs!$D$10),Inputs!$D$33*P23,0)</f>
        <v>0</v>
      </c>
      <c r="Q39" s="30">
        <f>IF(AND(Q20&gt;0,Q20&lt;=Inputs!$D$10),Inputs!$D$33*Q23,0)</f>
        <v>0</v>
      </c>
      <c r="R39" s="30">
        <f>IF(AND(R20&gt;0,R20&lt;=Inputs!$D$10),Inputs!$D$33*R23,0)</f>
        <v>0</v>
      </c>
      <c r="S39" s="30">
        <f>IF(AND(S20&gt;0,S20&lt;=Inputs!$D$10),Inputs!$D$33*S23,0)</f>
        <v>0</v>
      </c>
      <c r="T39" s="30">
        <f>IF(AND(T20&gt;0,T20&lt;=Inputs!$D$10),Inputs!$D$33*T23,0)</f>
        <v>0</v>
      </c>
      <c r="U39" s="30">
        <f>IF(AND(U20&gt;0,U20&lt;=Inputs!$D$10),Inputs!$D$33*U23,0)</f>
        <v>0</v>
      </c>
      <c r="V39" s="30">
        <f>IF(AND(V20&gt;0,V20&lt;=Inputs!$D$10),Inputs!$D$33*V23,0)</f>
        <v>0</v>
      </c>
      <c r="W39" s="30">
        <f>IF(AND(W20&gt;0,W20&lt;=Inputs!$D$10),Inputs!$D$33*W23,0)</f>
        <v>0</v>
      </c>
      <c r="X39" s="30">
        <f>IF(AND(X20&gt;0,X20&lt;=Inputs!$D$10),Inputs!$D$33*X23,0)</f>
        <v>0</v>
      </c>
      <c r="Y39" s="30">
        <f>IF(AND(Y20&gt;0,Y20&lt;=Inputs!$D$10),Inputs!$D$33*Y23,0)</f>
        <v>0</v>
      </c>
      <c r="Z39" s="30">
        <f>IF(AND(Z20&gt;0,Z20&lt;=Inputs!$D$10),Inputs!$D$33*Z23,0)</f>
        <v>0</v>
      </c>
    </row>
    <row r="40" spans="2:26" x14ac:dyDescent="0.25">
      <c r="B40" t="s">
        <v>66</v>
      </c>
      <c r="D40" s="30">
        <f>IF(Inputs!$D$2="Metric",(D39/Inputs!$D$90),(D39/Inputs!$D$89))</f>
        <v>0</v>
      </c>
      <c r="E40" s="30">
        <f>IF(Inputs!$D$2="Metric",(E39/Inputs!$D$90),(E39/Inputs!$D$89))</f>
        <v>0</v>
      </c>
      <c r="F40" s="30">
        <f>IF(Inputs!$D$2="Metric",(F39/Inputs!$D$90),(F39/Inputs!$D$89))</f>
        <v>0</v>
      </c>
      <c r="G40" s="30">
        <f>IF(Inputs!$D$2="Metric",(G39/Inputs!$D$90),(G39/Inputs!$D$89))</f>
        <v>0</v>
      </c>
      <c r="H40" s="30">
        <f>IF(Inputs!$D$2="Metric",(H39/Inputs!$D$90),(H39/Inputs!$D$89))</f>
        <v>0</v>
      </c>
      <c r="I40" s="30">
        <f>IF(Inputs!$D$2="Metric",(I39/Inputs!$D$90),(I39/Inputs!$D$89))</f>
        <v>0</v>
      </c>
      <c r="J40" s="30">
        <f>IF(Inputs!$D$2="Metric",(J39/Inputs!$D$90),(J39/Inputs!$D$89))</f>
        <v>0</v>
      </c>
      <c r="K40" s="30">
        <f>IF(Inputs!$D$2="Metric",(K39/Inputs!$D$90),(K39/Inputs!$D$89))</f>
        <v>0</v>
      </c>
      <c r="L40" s="30">
        <f>IF(Inputs!$D$2="Metric",(L39/Inputs!$D$90),(L39/Inputs!$D$89))</f>
        <v>0</v>
      </c>
      <c r="M40" s="30">
        <f>IF(Inputs!$D$2="Metric",(M39/Inputs!$D$90),(M39/Inputs!$D$89))</f>
        <v>0</v>
      </c>
      <c r="N40" s="30">
        <f>IF(Inputs!$D$2="Metric",(N39/Inputs!$D$90),(N39/Inputs!$D$89))</f>
        <v>0</v>
      </c>
      <c r="O40" s="30">
        <f>IF(Inputs!$D$2="Metric",(O39/Inputs!$D$90),(O39/Inputs!$D$89))</f>
        <v>0</v>
      </c>
      <c r="P40" s="30">
        <f>IF(Inputs!$D$2="Metric",(P39/Inputs!$D$90),(P39/Inputs!$D$89))</f>
        <v>0</v>
      </c>
      <c r="Q40" s="30">
        <f>IF(Inputs!$D$2="Metric",(Q39/Inputs!$D$90),(Q39/Inputs!$D$89))</f>
        <v>0</v>
      </c>
      <c r="R40" s="30">
        <f>IF(Inputs!$D$2="Metric",(R39/Inputs!$D$90),(R39/Inputs!$D$89))</f>
        <v>0</v>
      </c>
      <c r="S40" s="30">
        <f>IF(Inputs!$D$2="Metric",(S39/Inputs!$D$90),(S39/Inputs!$D$89))</f>
        <v>0</v>
      </c>
      <c r="T40" s="30">
        <f>IF(Inputs!$D$2="Metric",(T39/Inputs!$D$90),(T39/Inputs!$D$89))</f>
        <v>0</v>
      </c>
      <c r="U40" s="30">
        <f>IF(Inputs!$D$2="Metric",(U39/Inputs!$D$90),(U39/Inputs!$D$89))</f>
        <v>0</v>
      </c>
      <c r="V40" s="30">
        <f>IF(Inputs!$D$2="Metric",(V39/Inputs!$D$90),(V39/Inputs!$D$89))</f>
        <v>0</v>
      </c>
      <c r="W40" s="30">
        <f>IF(Inputs!$D$2="Metric",(W39/Inputs!$D$90),(W39/Inputs!$D$89))</f>
        <v>0</v>
      </c>
      <c r="X40" s="30">
        <f>IF(Inputs!$D$2="Metric",(X39/Inputs!$D$90),(X39/Inputs!$D$89))</f>
        <v>0</v>
      </c>
      <c r="Y40" s="30">
        <f>IF(Inputs!$D$2="Metric",(Y39/Inputs!$D$90),(Y39/Inputs!$D$89))</f>
        <v>0</v>
      </c>
      <c r="Z40" s="30">
        <f>IF(Inputs!$D$2="Metric",(Z39/Inputs!$D$90),(Z39/Inputs!$D$89))</f>
        <v>0</v>
      </c>
    </row>
    <row r="41" spans="2:26" x14ac:dyDescent="0.25">
      <c r="B41" s="3" t="str">
        <f>IF(Inputs!D2="Metric","Heavy Distillate Production/Year (Liters)","Heavy Distillate Production/Year (Gallons)")</f>
        <v>Heavy Distillate Production/Year (Gallons)</v>
      </c>
      <c r="D41" s="30">
        <f>IF(AND(D20&gt;0,D20&lt;=Inputs!$D$10),Inputs!$D$34*D23,0)</f>
        <v>0</v>
      </c>
      <c r="E41" s="30">
        <f>IF(AND(E20&gt;0,E20&lt;=Inputs!$D$10),Inputs!$D$34*E23,0)</f>
        <v>0</v>
      </c>
      <c r="F41" s="30">
        <f>IF(AND(F20&gt;0,F20&lt;=Inputs!$D$10),Inputs!$D$34*F23,0)</f>
        <v>0</v>
      </c>
      <c r="G41" s="30">
        <f>IF(AND(G20&gt;0,G20&lt;=Inputs!$D$10),Inputs!$D$34*G23,0)</f>
        <v>0</v>
      </c>
      <c r="H41" s="30">
        <f>IF(AND(H20&gt;0,H20&lt;=Inputs!$D$10),Inputs!$D$34*H23,0)</f>
        <v>0</v>
      </c>
      <c r="I41" s="30">
        <f>IF(AND(I20&gt;0,I20&lt;=Inputs!$D$10),Inputs!$D$34*I23,0)</f>
        <v>0</v>
      </c>
      <c r="J41" s="30">
        <f>IF(AND(J20&gt;0,J20&lt;=Inputs!$D$10),Inputs!$D$34*J23,0)</f>
        <v>0</v>
      </c>
      <c r="K41" s="30">
        <f>IF(AND(K20&gt;0,K20&lt;=Inputs!$D$10),Inputs!$D$34*K23,0)</f>
        <v>0</v>
      </c>
      <c r="L41" s="30">
        <f>IF(AND(L20&gt;0,L20&lt;=Inputs!$D$10),Inputs!$D$34*L23,0)</f>
        <v>0</v>
      </c>
      <c r="M41" s="30">
        <f>IF(AND(M20&gt;0,M20&lt;=Inputs!$D$10),Inputs!$D$34*M23,0)</f>
        <v>0</v>
      </c>
      <c r="N41" s="30">
        <f>IF(AND(N20&gt;0,N20&lt;=Inputs!$D$10),Inputs!$D$34*N23,0)</f>
        <v>0</v>
      </c>
      <c r="O41" s="30">
        <f>IF(AND(O20&gt;0,O20&lt;=Inputs!$D$10),Inputs!$D$34*O23,0)</f>
        <v>0</v>
      </c>
      <c r="P41" s="30">
        <f>IF(AND(P20&gt;0,P20&lt;=Inputs!$D$10),Inputs!$D$34*P23,0)</f>
        <v>0</v>
      </c>
      <c r="Q41" s="30">
        <f>IF(AND(Q20&gt;0,Q20&lt;=Inputs!$D$10),Inputs!$D$34*Q23,0)</f>
        <v>0</v>
      </c>
      <c r="R41" s="30">
        <f>IF(AND(R20&gt;0,R20&lt;=Inputs!$D$10),Inputs!$D$34*R23,0)</f>
        <v>0</v>
      </c>
      <c r="S41" s="30">
        <f>IF(AND(S20&gt;0,S20&lt;=Inputs!$D$10),Inputs!$D$34*S23,0)</f>
        <v>0</v>
      </c>
      <c r="T41" s="30">
        <f>IF(AND(T20&gt;0,T20&lt;=Inputs!$D$10),Inputs!$D$34*T23,0)</f>
        <v>0</v>
      </c>
      <c r="U41" s="30">
        <f>IF(AND(U20&gt;0,U20&lt;=Inputs!$D$10),Inputs!$D$34*U23,0)</f>
        <v>0</v>
      </c>
      <c r="V41" s="30">
        <f>IF(AND(V20&gt;0,V20&lt;=Inputs!$D$10),Inputs!$D$34*V23,0)</f>
        <v>0</v>
      </c>
      <c r="W41" s="30">
        <f>IF(AND(W20&gt;0,W20&lt;=Inputs!$D$10),Inputs!$D$34*W23,0)</f>
        <v>0</v>
      </c>
      <c r="X41" s="30">
        <f>IF(AND(X20&gt;0,X20&lt;=Inputs!$D$10),Inputs!$D$34*X23,0)</f>
        <v>0</v>
      </c>
      <c r="Y41" s="30">
        <f>IF(AND(Y20&gt;0,Y20&lt;=Inputs!$D$10),Inputs!$D$34*Y23,0)</f>
        <v>0</v>
      </c>
      <c r="Z41" s="30">
        <f>IF(AND(Z20&gt;0,Z20&lt;=Inputs!$D$10),Inputs!$D$34*Z23,0)</f>
        <v>0</v>
      </c>
    </row>
    <row r="42" spans="2:26" x14ac:dyDescent="0.25">
      <c r="B42" s="3" t="s">
        <v>67</v>
      </c>
      <c r="D42" s="30">
        <f>IF(Inputs!$D$2="Metric",(D41/Inputs!$D$90),(D40/Inputs!$D$89))</f>
        <v>0</v>
      </c>
      <c r="E42" s="30">
        <f>IF(Inputs!$D$2="Metric",(E41/Inputs!$D$90),(E40/Inputs!$D$89))</f>
        <v>0</v>
      </c>
      <c r="F42" s="30">
        <f>IF(Inputs!$D$2="Metric",(F41/Inputs!$D$90),(F40/Inputs!$D$89))</f>
        <v>0</v>
      </c>
      <c r="G42" s="30">
        <f>IF(Inputs!$D$2="Metric",(G41/Inputs!$D$90),(G40/Inputs!$D$89))</f>
        <v>0</v>
      </c>
      <c r="H42" s="30">
        <f>IF(Inputs!$D$2="Metric",(H41/Inputs!$D$90),(H40/Inputs!$D$89))</f>
        <v>0</v>
      </c>
      <c r="I42" s="30">
        <f>IF(Inputs!$D$2="Metric",(I41/Inputs!$D$90),(I40/Inputs!$D$89))</f>
        <v>0</v>
      </c>
      <c r="J42" s="30">
        <f>IF(Inputs!$D$2="Metric",(J41/Inputs!$D$90),(J40/Inputs!$D$89))</f>
        <v>0</v>
      </c>
      <c r="K42" s="30">
        <f>IF(Inputs!$D$2="Metric",(K41/Inputs!$D$90),(K40/Inputs!$D$89))</f>
        <v>0</v>
      </c>
      <c r="L42" s="30">
        <f>IF(Inputs!$D$2="Metric",(L41/Inputs!$D$90),(L40/Inputs!$D$89))</f>
        <v>0</v>
      </c>
      <c r="M42" s="30">
        <f>IF(Inputs!$D$2="Metric",(M41/Inputs!$D$90),(M40/Inputs!$D$89))</f>
        <v>0</v>
      </c>
      <c r="N42" s="30">
        <f>IF(Inputs!$D$2="Metric",(N41/Inputs!$D$90),(N40/Inputs!$D$89))</f>
        <v>0</v>
      </c>
      <c r="O42" s="30">
        <f>IF(Inputs!$D$2="Metric",(O41/Inputs!$D$90),(O40/Inputs!$D$89))</f>
        <v>0</v>
      </c>
      <c r="P42" s="30">
        <f>IF(Inputs!$D$2="Metric",(P41/Inputs!$D$90),(P40/Inputs!$D$89))</f>
        <v>0</v>
      </c>
      <c r="Q42" s="30">
        <f>IF(Inputs!$D$2="Metric",(Q41/Inputs!$D$90),(Q40/Inputs!$D$89))</f>
        <v>0</v>
      </c>
      <c r="R42" s="30">
        <f>IF(Inputs!$D$2="Metric",(R41/Inputs!$D$90),(R40/Inputs!$D$89))</f>
        <v>0</v>
      </c>
      <c r="S42" s="30">
        <f>IF(Inputs!$D$2="Metric",(S41/Inputs!$D$90),(S40/Inputs!$D$89))</f>
        <v>0</v>
      </c>
      <c r="T42" s="30">
        <f>IF(Inputs!$D$2="Metric",(T41/Inputs!$D$90),(T40/Inputs!$D$89))</f>
        <v>0</v>
      </c>
      <c r="U42" s="30">
        <f>IF(Inputs!$D$2="Metric",(U41/Inputs!$D$90),(U40/Inputs!$D$89))</f>
        <v>0</v>
      </c>
      <c r="V42" s="30">
        <f>IF(Inputs!$D$2="Metric",(V41/Inputs!$D$90),(V40/Inputs!$D$89))</f>
        <v>0</v>
      </c>
      <c r="W42" s="30">
        <f>IF(Inputs!$D$2="Metric",(W41/Inputs!$D$90),(W40/Inputs!$D$89))</f>
        <v>0</v>
      </c>
      <c r="X42" s="30">
        <f>IF(Inputs!$D$2="Metric",(X41/Inputs!$D$90),(X40/Inputs!$D$89))</f>
        <v>0</v>
      </c>
      <c r="Y42" s="30">
        <f>IF(Inputs!$D$2="Metric",(Y41/Inputs!$D$90),(Y40/Inputs!$D$89))</f>
        <v>0</v>
      </c>
      <c r="Z42" s="30">
        <f>IF(Inputs!$D$2="Metric",(Z41/Inputs!$D$90),(Z40/Inputs!$D$89))</f>
        <v>0</v>
      </c>
    </row>
    <row r="44" spans="2:26" x14ac:dyDescent="0.25">
      <c r="B44" s="31" t="s">
        <v>109</v>
      </c>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2:26" x14ac:dyDescent="0.25">
      <c r="B45" t="str">
        <f>IF(Inputs!D2="Metric","Water Purchase ($/1,000 Liters)","Water Purchase ($/1,000 Gallons)")</f>
        <v>Water Purchase ($/1,000 Gallons)</v>
      </c>
      <c r="C45" s="32"/>
      <c r="D45" s="17">
        <f>Inputs!D46</f>
        <v>0</v>
      </c>
      <c r="E45" s="17">
        <f>D45*(1+Inputs!$D$73)</f>
        <v>0</v>
      </c>
      <c r="F45" s="17">
        <f>E45*(1+Inputs!$D$73)</f>
        <v>0</v>
      </c>
      <c r="G45" s="17">
        <f>F45*(1+Inputs!$D$73)</f>
        <v>0</v>
      </c>
      <c r="H45" s="17">
        <f>G45*(1+Inputs!$D$73)</f>
        <v>0</v>
      </c>
      <c r="I45" s="17">
        <f>H45*(1+Inputs!$D$73)</f>
        <v>0</v>
      </c>
      <c r="J45" s="17">
        <f>I45*(1+Inputs!$D$73)</f>
        <v>0</v>
      </c>
      <c r="K45" s="17">
        <f>J45*(1+Inputs!$D$73)</f>
        <v>0</v>
      </c>
      <c r="L45" s="17">
        <f>K45*(1+Inputs!$D$73)</f>
        <v>0</v>
      </c>
      <c r="M45" s="17">
        <f>L45*(1+Inputs!$D$73)</f>
        <v>0</v>
      </c>
      <c r="N45" s="17">
        <f>M45*(1+Inputs!$D$73)</f>
        <v>0</v>
      </c>
      <c r="O45" s="17">
        <f>N45*(1+Inputs!$D$73)</f>
        <v>0</v>
      </c>
      <c r="P45" s="17">
        <f>O45*(1+Inputs!$D$73)</f>
        <v>0</v>
      </c>
      <c r="Q45" s="17">
        <f>P45*(1+Inputs!$D$73)</f>
        <v>0</v>
      </c>
      <c r="R45" s="17">
        <f>Q45*(1+Inputs!$D$73)</f>
        <v>0</v>
      </c>
      <c r="S45" s="17">
        <f>R45*(1+Inputs!$D$73)</f>
        <v>0</v>
      </c>
      <c r="T45" s="17">
        <f>S45*(1+Inputs!$D$73)</f>
        <v>0</v>
      </c>
      <c r="U45" s="17">
        <f>T45*(1+Inputs!$D$73)</f>
        <v>0</v>
      </c>
      <c r="V45" s="17">
        <f>U45*(1+Inputs!$D$73)</f>
        <v>0</v>
      </c>
      <c r="W45" s="17">
        <f>V45*(1+Inputs!$D$73)</f>
        <v>0</v>
      </c>
      <c r="X45" s="17">
        <f>W45*(1+Inputs!$D$73)</f>
        <v>0</v>
      </c>
      <c r="Y45" s="17">
        <f>X45*(1+Inputs!$D$73)</f>
        <v>0</v>
      </c>
      <c r="Z45" s="17">
        <f>Y45*(1+Inputs!$D$73)</f>
        <v>0</v>
      </c>
    </row>
    <row r="46" spans="2:26" x14ac:dyDescent="0.25">
      <c r="B46" t="s">
        <v>110</v>
      </c>
      <c r="C46" s="32"/>
      <c r="D46" s="17">
        <f>Inputs!D45</f>
        <v>0</v>
      </c>
      <c r="E46" s="17">
        <f>D46*(1+Inputs!$D$73)</f>
        <v>0</v>
      </c>
      <c r="F46" s="17">
        <f>E46*(1+Inputs!$D$73)</f>
        <v>0</v>
      </c>
      <c r="G46" s="17">
        <f>F46*(1+Inputs!$D$73)</f>
        <v>0</v>
      </c>
      <c r="H46" s="17">
        <f>G46*(1+Inputs!$D$73)</f>
        <v>0</v>
      </c>
      <c r="I46" s="17">
        <f>H46*(1+Inputs!$D$73)</f>
        <v>0</v>
      </c>
      <c r="J46" s="17">
        <f>I46*(1+Inputs!$D$73)</f>
        <v>0</v>
      </c>
      <c r="K46" s="17">
        <f>J46*(1+Inputs!$D$73)</f>
        <v>0</v>
      </c>
      <c r="L46" s="17">
        <f>K46*(1+Inputs!$D$73)</f>
        <v>0</v>
      </c>
      <c r="M46" s="17">
        <f>L46*(1+Inputs!$D$73)</f>
        <v>0</v>
      </c>
      <c r="N46" s="17">
        <f>M46*(1+Inputs!$D$73)</f>
        <v>0</v>
      </c>
      <c r="O46" s="17">
        <f>N46*(1+Inputs!$D$73)</f>
        <v>0</v>
      </c>
      <c r="P46" s="17">
        <f>O46*(1+Inputs!$D$73)</f>
        <v>0</v>
      </c>
      <c r="Q46" s="17">
        <f>P46*(1+Inputs!$D$73)</f>
        <v>0</v>
      </c>
      <c r="R46" s="17">
        <f>Q46*(1+Inputs!$D$73)</f>
        <v>0</v>
      </c>
      <c r="S46" s="17">
        <f>R46*(1+Inputs!$D$73)</f>
        <v>0</v>
      </c>
      <c r="T46" s="17">
        <f>S46*(1+Inputs!$D$73)</f>
        <v>0</v>
      </c>
      <c r="U46" s="17">
        <f>T46*(1+Inputs!$D$73)</f>
        <v>0</v>
      </c>
      <c r="V46" s="17">
        <f>U46*(1+Inputs!$D$73)</f>
        <v>0</v>
      </c>
      <c r="W46" s="17">
        <f>V46*(1+Inputs!$D$73)</f>
        <v>0</v>
      </c>
      <c r="X46" s="17">
        <f>W46*(1+Inputs!$D$73)</f>
        <v>0</v>
      </c>
      <c r="Y46" s="17">
        <f>X46*(1+Inputs!$D$73)</f>
        <v>0</v>
      </c>
      <c r="Z46" s="17">
        <f>Y46*(1+Inputs!$D$73)</f>
        <v>0</v>
      </c>
    </row>
    <row r="47" spans="2:26" x14ac:dyDescent="0.25">
      <c r="B47" t="str">
        <f>IF(Inputs!D2="Metric","Gate Fee ($/Tonne)","Gate Fee ($/Ton)")</f>
        <v>Gate Fee ($/Ton)</v>
      </c>
      <c r="C47" s="32"/>
      <c r="D47" s="17">
        <f>Inputs!D60</f>
        <v>0</v>
      </c>
      <c r="E47" s="17">
        <f>D47*(1+Inputs!$D$73)</f>
        <v>0</v>
      </c>
      <c r="F47" s="17">
        <f>E47*(1+Inputs!$D$73)</f>
        <v>0</v>
      </c>
      <c r="G47" s="17">
        <f>F47*(1+Inputs!$D$73)</f>
        <v>0</v>
      </c>
      <c r="H47" s="17">
        <f>G47*(1+Inputs!$D$73)</f>
        <v>0</v>
      </c>
      <c r="I47" s="17">
        <f>H47*(1+Inputs!$D$73)</f>
        <v>0</v>
      </c>
      <c r="J47" s="17">
        <f>I47*(1+Inputs!$D$73)</f>
        <v>0</v>
      </c>
      <c r="K47" s="17">
        <f>J47*(1+Inputs!$D$73)</f>
        <v>0</v>
      </c>
      <c r="L47" s="17">
        <f>K47*(1+Inputs!$D$73)</f>
        <v>0</v>
      </c>
      <c r="M47" s="17">
        <f>L47*(1+Inputs!$D$73)</f>
        <v>0</v>
      </c>
      <c r="N47" s="17">
        <f>M47*(1+Inputs!$D$73)</f>
        <v>0</v>
      </c>
      <c r="O47" s="17">
        <f>N47*(1+Inputs!$D$73)</f>
        <v>0</v>
      </c>
      <c r="P47" s="17">
        <f>O47*(1+Inputs!$D$73)</f>
        <v>0</v>
      </c>
      <c r="Q47" s="17">
        <f>P47*(1+Inputs!$D$73)</f>
        <v>0</v>
      </c>
      <c r="R47" s="17">
        <f>Q47*(1+Inputs!$D$73)</f>
        <v>0</v>
      </c>
      <c r="S47" s="17">
        <f>R47*(1+Inputs!$D$73)</f>
        <v>0</v>
      </c>
      <c r="T47" s="17">
        <f>S47*(1+Inputs!$D$73)</f>
        <v>0</v>
      </c>
      <c r="U47" s="17">
        <f>T47*(1+Inputs!$D$73)</f>
        <v>0</v>
      </c>
      <c r="V47" s="17">
        <f>U47*(1+Inputs!$D$73)</f>
        <v>0</v>
      </c>
      <c r="W47" s="17">
        <f>V47*(1+Inputs!$D$73)</f>
        <v>0</v>
      </c>
      <c r="X47" s="17">
        <f>W47*(1+Inputs!$D$73)</f>
        <v>0</v>
      </c>
      <c r="Y47" s="17">
        <f>X47*(1+Inputs!$D$73)</f>
        <v>0</v>
      </c>
      <c r="Z47" s="17">
        <f>Y47*(1+Inputs!$D$73)</f>
        <v>0</v>
      </c>
    </row>
    <row r="48" spans="2:26" x14ac:dyDescent="0.25">
      <c r="B48" t="str">
        <f>IF(Inputs!D2="Metric","Fuel Shipping ($/Liter)","Fuel Shipping ($/Gallon)")</f>
        <v>Fuel Shipping ($/Gallon)</v>
      </c>
      <c r="C48" s="32"/>
      <c r="D48" s="17">
        <f>Inputs!D50</f>
        <v>0</v>
      </c>
      <c r="E48" s="17">
        <f>D48*(1+Inputs!$D$73)</f>
        <v>0</v>
      </c>
      <c r="F48" s="17">
        <f>E48*(1+Inputs!$D$73)</f>
        <v>0</v>
      </c>
      <c r="G48" s="17">
        <f>F48*(1+Inputs!$D$73)</f>
        <v>0</v>
      </c>
      <c r="H48" s="17">
        <f>G48*(1+Inputs!$D$73)</f>
        <v>0</v>
      </c>
      <c r="I48" s="17">
        <f>H48*(1+Inputs!$D$73)</f>
        <v>0</v>
      </c>
      <c r="J48" s="17">
        <f>I48*(1+Inputs!$D$73)</f>
        <v>0</v>
      </c>
      <c r="K48" s="17">
        <f>J48*(1+Inputs!$D$73)</f>
        <v>0</v>
      </c>
      <c r="L48" s="17">
        <f>K48*(1+Inputs!$D$73)</f>
        <v>0</v>
      </c>
      <c r="M48" s="17">
        <f>L48*(1+Inputs!$D$73)</f>
        <v>0</v>
      </c>
      <c r="N48" s="17">
        <f>M48*(1+Inputs!$D$73)</f>
        <v>0</v>
      </c>
      <c r="O48" s="17">
        <f>N48*(1+Inputs!$D$73)</f>
        <v>0</v>
      </c>
      <c r="P48" s="17">
        <f>O48*(1+Inputs!$D$73)</f>
        <v>0</v>
      </c>
      <c r="Q48" s="17">
        <f>P48*(1+Inputs!$D$73)</f>
        <v>0</v>
      </c>
      <c r="R48" s="17">
        <f>Q48*(1+Inputs!$D$73)</f>
        <v>0</v>
      </c>
      <c r="S48" s="17">
        <f>R48*(1+Inputs!$D$73)</f>
        <v>0</v>
      </c>
      <c r="T48" s="17">
        <f>S48*(1+Inputs!$D$73)</f>
        <v>0</v>
      </c>
      <c r="U48" s="17">
        <f>T48*(1+Inputs!$D$73)</f>
        <v>0</v>
      </c>
      <c r="V48" s="17">
        <f>U48*(1+Inputs!$D$73)</f>
        <v>0</v>
      </c>
      <c r="W48" s="17">
        <f>V48*(1+Inputs!$D$73)</f>
        <v>0</v>
      </c>
      <c r="X48" s="17">
        <f>W48*(1+Inputs!$D$73)</f>
        <v>0</v>
      </c>
      <c r="Y48" s="17">
        <f>X48*(1+Inputs!$D$73)</f>
        <v>0</v>
      </c>
      <c r="Z48" s="17">
        <f>Y48*(1+Inputs!$D$73)</f>
        <v>0</v>
      </c>
    </row>
    <row r="49" spans="2:26" x14ac:dyDescent="0.25">
      <c r="B49" t="str">
        <f>IF(Inputs!D2="Metric","Catalyst Purchase ($/kg)","Catalyst Purchase ($/lb)")</f>
        <v>Catalyst Purchase ($/lb)</v>
      </c>
      <c r="C49" s="32"/>
      <c r="D49" s="17">
        <f>Inputs!D52</f>
        <v>0</v>
      </c>
      <c r="E49" s="17">
        <f>D49*(1+Inputs!$D$73)</f>
        <v>0</v>
      </c>
      <c r="F49" s="17">
        <f>E49*(1+Inputs!$D$73)</f>
        <v>0</v>
      </c>
      <c r="G49" s="17">
        <f>F49*(1+Inputs!$D$73)</f>
        <v>0</v>
      </c>
      <c r="H49" s="17">
        <f>G49*(1+Inputs!$D$73)</f>
        <v>0</v>
      </c>
      <c r="I49" s="17">
        <f>H49*(1+Inputs!$D$73)</f>
        <v>0</v>
      </c>
      <c r="J49" s="17">
        <f>I49*(1+Inputs!$D$73)</f>
        <v>0</v>
      </c>
      <c r="K49" s="17">
        <f>J49*(1+Inputs!$D$73)</f>
        <v>0</v>
      </c>
      <c r="L49" s="17">
        <f>K49*(1+Inputs!$D$73)</f>
        <v>0</v>
      </c>
      <c r="M49" s="17">
        <f>L49*(1+Inputs!$D$73)</f>
        <v>0</v>
      </c>
      <c r="N49" s="17">
        <f>M49*(1+Inputs!$D$73)</f>
        <v>0</v>
      </c>
      <c r="O49" s="17">
        <f>N49*(1+Inputs!$D$73)</f>
        <v>0</v>
      </c>
      <c r="P49" s="17">
        <f>O49*(1+Inputs!$D$73)</f>
        <v>0</v>
      </c>
      <c r="Q49" s="17">
        <f>P49*(1+Inputs!$D$73)</f>
        <v>0</v>
      </c>
      <c r="R49" s="17">
        <f>Q49*(1+Inputs!$D$73)</f>
        <v>0</v>
      </c>
      <c r="S49" s="17">
        <f>R49*(1+Inputs!$D$73)</f>
        <v>0</v>
      </c>
      <c r="T49" s="17">
        <f>S49*(1+Inputs!$D$73)</f>
        <v>0</v>
      </c>
      <c r="U49" s="17">
        <f>T49*(1+Inputs!$D$73)</f>
        <v>0</v>
      </c>
      <c r="V49" s="17">
        <f>U49*(1+Inputs!$D$73)</f>
        <v>0</v>
      </c>
      <c r="W49" s="17">
        <f>V49*(1+Inputs!$D$73)</f>
        <v>0</v>
      </c>
      <c r="X49" s="17">
        <f>W49*(1+Inputs!$D$73)</f>
        <v>0</v>
      </c>
      <c r="Y49" s="17">
        <f>X49*(1+Inputs!$D$73)</f>
        <v>0</v>
      </c>
      <c r="Z49" s="17">
        <f>Y49*(1+Inputs!$D$73)</f>
        <v>0</v>
      </c>
    </row>
    <row r="50" spans="2:26" x14ac:dyDescent="0.25">
      <c r="B50" t="s">
        <v>186</v>
      </c>
      <c r="C50" s="32"/>
      <c r="D50" s="17">
        <f>Inputs!D43</f>
        <v>0</v>
      </c>
      <c r="E50" s="17">
        <f>D50*(1+Inputs!$D$73)</f>
        <v>0</v>
      </c>
      <c r="F50" s="17">
        <f>E50*(1+Inputs!$D$73)</f>
        <v>0</v>
      </c>
      <c r="G50" s="17">
        <f>F50*(1+Inputs!$D$73)</f>
        <v>0</v>
      </c>
      <c r="H50" s="17">
        <f>G50*(1+Inputs!$D$73)</f>
        <v>0</v>
      </c>
      <c r="I50" s="17">
        <f>H50*(1+Inputs!$D$73)</f>
        <v>0</v>
      </c>
      <c r="J50" s="17">
        <f>I50*(1+Inputs!$D$73)</f>
        <v>0</v>
      </c>
      <c r="K50" s="17">
        <f>J50*(1+Inputs!$D$73)</f>
        <v>0</v>
      </c>
      <c r="L50" s="17">
        <f>K50*(1+Inputs!$D$73)</f>
        <v>0</v>
      </c>
      <c r="M50" s="17">
        <f>L50*(1+Inputs!$D$73)</f>
        <v>0</v>
      </c>
      <c r="N50" s="17">
        <f>M50*(1+Inputs!$D$73)</f>
        <v>0</v>
      </c>
      <c r="O50" s="17">
        <f>N50*(1+Inputs!$D$73)</f>
        <v>0</v>
      </c>
      <c r="P50" s="17">
        <f>O50*(1+Inputs!$D$73)</f>
        <v>0</v>
      </c>
      <c r="Q50" s="17">
        <f>P50*(1+Inputs!$D$73)</f>
        <v>0</v>
      </c>
      <c r="R50" s="17">
        <f>Q50*(1+Inputs!$D$73)</f>
        <v>0</v>
      </c>
      <c r="S50" s="17">
        <f>R50*(1+Inputs!$D$73)</f>
        <v>0</v>
      </c>
      <c r="T50" s="17">
        <f>S50*(1+Inputs!$D$73)</f>
        <v>0</v>
      </c>
      <c r="U50" s="17">
        <f>T50*(1+Inputs!$D$73)</f>
        <v>0</v>
      </c>
      <c r="V50" s="17">
        <f>U50*(1+Inputs!$D$73)</f>
        <v>0</v>
      </c>
      <c r="W50" s="17">
        <f>V50*(1+Inputs!$D$73)</f>
        <v>0</v>
      </c>
      <c r="X50" s="17">
        <f>W50*(1+Inputs!$D$73)</f>
        <v>0</v>
      </c>
      <c r="Y50" s="17">
        <f>X50*(1+Inputs!$D$73)</f>
        <v>0</v>
      </c>
      <c r="Z50" s="17">
        <f>Y50*(1+Inputs!$D$73)</f>
        <v>0</v>
      </c>
    </row>
    <row r="51" spans="2:26" x14ac:dyDescent="0.25">
      <c r="B51" t="str">
        <f>IF(Inputs!D2="Metric","Pre-Processing Reject Management ($/Tonne)","Pre-Processing Reject Management ($/Ton)")</f>
        <v>Pre-Processing Reject Management ($/Ton)</v>
      </c>
      <c r="C51" s="32"/>
      <c r="D51" s="17">
        <f>Inputs!D47</f>
        <v>0</v>
      </c>
      <c r="E51" s="17">
        <f>D51*(1+Inputs!$D$73)</f>
        <v>0</v>
      </c>
      <c r="F51" s="17">
        <f>E51*(1+Inputs!$D$73)</f>
        <v>0</v>
      </c>
      <c r="G51" s="17">
        <f>F51*(1+Inputs!$D$73)</f>
        <v>0</v>
      </c>
      <c r="H51" s="17">
        <f>G51*(1+Inputs!$D$73)</f>
        <v>0</v>
      </c>
      <c r="I51" s="17">
        <f>H51*(1+Inputs!$D$73)</f>
        <v>0</v>
      </c>
      <c r="J51" s="17">
        <f>I51*(1+Inputs!$D$73)</f>
        <v>0</v>
      </c>
      <c r="K51" s="17">
        <f>J51*(1+Inputs!$D$73)</f>
        <v>0</v>
      </c>
      <c r="L51" s="17">
        <f>K51*(1+Inputs!$D$73)</f>
        <v>0</v>
      </c>
      <c r="M51" s="17">
        <f>L51*(1+Inputs!$D$73)</f>
        <v>0</v>
      </c>
      <c r="N51" s="17">
        <f>M51*(1+Inputs!$D$73)</f>
        <v>0</v>
      </c>
      <c r="O51" s="17">
        <f>N51*(1+Inputs!$D$73)</f>
        <v>0</v>
      </c>
      <c r="P51" s="17">
        <f>O51*(1+Inputs!$D$73)</f>
        <v>0</v>
      </c>
      <c r="Q51" s="17">
        <f>P51*(1+Inputs!$D$73)</f>
        <v>0</v>
      </c>
      <c r="R51" s="17">
        <f>Q51*(1+Inputs!$D$73)</f>
        <v>0</v>
      </c>
      <c r="S51" s="17">
        <f>R51*(1+Inputs!$D$73)</f>
        <v>0</v>
      </c>
      <c r="T51" s="17">
        <f>S51*(1+Inputs!$D$73)</f>
        <v>0</v>
      </c>
      <c r="U51" s="17">
        <f>T51*(1+Inputs!$D$73)</f>
        <v>0</v>
      </c>
      <c r="V51" s="17">
        <f>U51*(1+Inputs!$D$73)</f>
        <v>0</v>
      </c>
      <c r="W51" s="17">
        <f>V51*(1+Inputs!$D$73)</f>
        <v>0</v>
      </c>
      <c r="X51" s="17">
        <f>W51*(1+Inputs!$D$73)</f>
        <v>0</v>
      </c>
      <c r="Y51" s="17">
        <f>X51*(1+Inputs!$D$73)</f>
        <v>0</v>
      </c>
      <c r="Z51" s="17">
        <f>Y51*(1+Inputs!$D$73)</f>
        <v>0</v>
      </c>
    </row>
    <row r="52" spans="2:26" x14ac:dyDescent="0.25">
      <c r="B52" t="str">
        <f>IF(Inputs!D2="Metric","Residue Management ($/Tonne)","Residue Management ($/Ton)")</f>
        <v>Residue Management ($/Ton)</v>
      </c>
      <c r="C52" s="32"/>
      <c r="D52" s="17">
        <f>Inputs!D48</f>
        <v>0</v>
      </c>
      <c r="E52" s="17">
        <f>D52*(1+Inputs!$D$73)</f>
        <v>0</v>
      </c>
      <c r="F52" s="17">
        <f>E52*(1+Inputs!$D$73)</f>
        <v>0</v>
      </c>
      <c r="G52" s="17">
        <f>F52*(1+Inputs!$D$73)</f>
        <v>0</v>
      </c>
      <c r="H52" s="17">
        <f>G52*(1+Inputs!$D$73)</f>
        <v>0</v>
      </c>
      <c r="I52" s="17">
        <f>H52*(1+Inputs!$D$73)</f>
        <v>0</v>
      </c>
      <c r="J52" s="17">
        <f>I52*(1+Inputs!$D$73)</f>
        <v>0</v>
      </c>
      <c r="K52" s="17">
        <f>J52*(1+Inputs!$D$73)</f>
        <v>0</v>
      </c>
      <c r="L52" s="17">
        <f>K52*(1+Inputs!$D$73)</f>
        <v>0</v>
      </c>
      <c r="M52" s="17">
        <f>L52*(1+Inputs!$D$73)</f>
        <v>0</v>
      </c>
      <c r="N52" s="17">
        <f>M52*(1+Inputs!$D$73)</f>
        <v>0</v>
      </c>
      <c r="O52" s="17">
        <f>N52*(1+Inputs!$D$73)</f>
        <v>0</v>
      </c>
      <c r="P52" s="17">
        <f>O52*(1+Inputs!$D$73)</f>
        <v>0</v>
      </c>
      <c r="Q52" s="17">
        <f>P52*(1+Inputs!$D$73)</f>
        <v>0</v>
      </c>
      <c r="R52" s="17">
        <f>Q52*(1+Inputs!$D$73)</f>
        <v>0</v>
      </c>
      <c r="S52" s="17">
        <f>R52*(1+Inputs!$D$73)</f>
        <v>0</v>
      </c>
      <c r="T52" s="17">
        <f>S52*(1+Inputs!$D$73)</f>
        <v>0</v>
      </c>
      <c r="U52" s="17">
        <f>T52*(1+Inputs!$D$73)</f>
        <v>0</v>
      </c>
      <c r="V52" s="17">
        <f>U52*(1+Inputs!$D$73)</f>
        <v>0</v>
      </c>
      <c r="W52" s="17">
        <f>V52*(1+Inputs!$D$73)</f>
        <v>0</v>
      </c>
      <c r="X52" s="17">
        <f>W52*(1+Inputs!$D$73)</f>
        <v>0</v>
      </c>
      <c r="Y52" s="17">
        <f>X52*(1+Inputs!$D$73)</f>
        <v>0</v>
      </c>
      <c r="Z52" s="17">
        <f>Y52*(1+Inputs!$D$73)</f>
        <v>0</v>
      </c>
    </row>
    <row r="53" spans="2:26" x14ac:dyDescent="0.25">
      <c r="B53" t="str">
        <f>IF(Inputs!D2="Metric","Avoided Feedstock Management Cost ($/Tonne)","Avoided Feedstock Management Cost ($/Ton)")</f>
        <v>Avoided Feedstock Management Cost ($/Ton)</v>
      </c>
      <c r="C53" s="32"/>
      <c r="D53" s="17">
        <f>Inputs!D65</f>
        <v>0</v>
      </c>
      <c r="E53" s="17">
        <f>D53*(1+Inputs!$D$73)</f>
        <v>0</v>
      </c>
      <c r="F53" s="17">
        <f>E53*(1+Inputs!$D$73)</f>
        <v>0</v>
      </c>
      <c r="G53" s="17">
        <f>F53*(1+Inputs!$D$73)</f>
        <v>0</v>
      </c>
      <c r="H53" s="17">
        <f>G53*(1+Inputs!$D$73)</f>
        <v>0</v>
      </c>
      <c r="I53" s="17">
        <f>H53*(1+Inputs!$D$73)</f>
        <v>0</v>
      </c>
      <c r="J53" s="17">
        <f>I53*(1+Inputs!$D$73)</f>
        <v>0</v>
      </c>
      <c r="K53" s="17">
        <f>J53*(1+Inputs!$D$73)</f>
        <v>0</v>
      </c>
      <c r="L53" s="17">
        <f>K53*(1+Inputs!$D$73)</f>
        <v>0</v>
      </c>
      <c r="M53" s="17">
        <f>L53*(1+Inputs!$D$73)</f>
        <v>0</v>
      </c>
      <c r="N53" s="17">
        <f>M53*(1+Inputs!$D$73)</f>
        <v>0</v>
      </c>
      <c r="O53" s="17">
        <f>N53*(1+Inputs!$D$73)</f>
        <v>0</v>
      </c>
      <c r="P53" s="17">
        <f>O53*(1+Inputs!$D$73)</f>
        <v>0</v>
      </c>
      <c r="Q53" s="17">
        <f>P53*(1+Inputs!$D$73)</f>
        <v>0</v>
      </c>
      <c r="R53" s="17">
        <f>Q53*(1+Inputs!$D$73)</f>
        <v>0</v>
      </c>
      <c r="S53" s="17">
        <f>R53*(1+Inputs!$D$73)</f>
        <v>0</v>
      </c>
      <c r="T53" s="17">
        <f>S53*(1+Inputs!$D$73)</f>
        <v>0</v>
      </c>
      <c r="U53" s="17">
        <f>T53*(1+Inputs!$D$73)</f>
        <v>0</v>
      </c>
      <c r="V53" s="17">
        <f>U53*(1+Inputs!$D$73)</f>
        <v>0</v>
      </c>
      <c r="W53" s="17">
        <f>V53*(1+Inputs!$D$73)</f>
        <v>0</v>
      </c>
      <c r="X53" s="17">
        <f>W53*(1+Inputs!$D$73)</f>
        <v>0</v>
      </c>
      <c r="Y53" s="17">
        <f>X53*(1+Inputs!$D$73)</f>
        <v>0</v>
      </c>
      <c r="Z53" s="17">
        <f>Y53*(1+Inputs!$D$73)</f>
        <v>0</v>
      </c>
    </row>
    <row r="54" spans="2:26" x14ac:dyDescent="0.25">
      <c r="B54" t="str">
        <f>IF(Inputs!D2="Metric","Feedstock Acquisition ($/Tonne)","Feedstock Acquisition ($/Ton)")</f>
        <v>Feedstock Acquisition ($/Ton)</v>
      </c>
      <c r="C54" s="32"/>
      <c r="D54" s="17">
        <f>Inputs!D44</f>
        <v>0</v>
      </c>
      <c r="E54" s="17">
        <f>D54*(1+Inputs!$D$71)</f>
        <v>0</v>
      </c>
      <c r="F54" s="17">
        <f>E54*(1+Inputs!$D$71)</f>
        <v>0</v>
      </c>
      <c r="G54" s="17">
        <f>F54*(1+Inputs!$D$71)</f>
        <v>0</v>
      </c>
      <c r="H54" s="17">
        <f>G54*(1+Inputs!$D$71)</f>
        <v>0</v>
      </c>
      <c r="I54" s="17">
        <f>H54*(1+Inputs!$D$71)</f>
        <v>0</v>
      </c>
      <c r="J54" s="17">
        <f>I54*(1+Inputs!$D$71)</f>
        <v>0</v>
      </c>
      <c r="K54" s="17">
        <f>J54*(1+Inputs!$D$71)</f>
        <v>0</v>
      </c>
      <c r="L54" s="17">
        <f>K54*(1+Inputs!$D$71)</f>
        <v>0</v>
      </c>
      <c r="M54" s="17">
        <f>L54*(1+Inputs!$D$71)</f>
        <v>0</v>
      </c>
      <c r="N54" s="17">
        <f>M54*(1+Inputs!$D$71)</f>
        <v>0</v>
      </c>
      <c r="O54" s="17">
        <f>N54*(1+Inputs!$D$71)</f>
        <v>0</v>
      </c>
      <c r="P54" s="17">
        <f>O54*(1+Inputs!$D$71)</f>
        <v>0</v>
      </c>
      <c r="Q54" s="17">
        <f>P54*(1+Inputs!$D$71)</f>
        <v>0</v>
      </c>
      <c r="R54" s="17">
        <f>Q54*(1+Inputs!$D$71)</f>
        <v>0</v>
      </c>
      <c r="S54" s="17">
        <f>R54*(1+Inputs!$D$71)</f>
        <v>0</v>
      </c>
      <c r="T54" s="17">
        <f>S54*(1+Inputs!$D$71)</f>
        <v>0</v>
      </c>
      <c r="U54" s="17">
        <f>T54*(1+Inputs!$D$71)</f>
        <v>0</v>
      </c>
      <c r="V54" s="17">
        <f>U54*(1+Inputs!$D$71)</f>
        <v>0</v>
      </c>
      <c r="W54" s="17">
        <f>V54*(1+Inputs!$D$71)</f>
        <v>0</v>
      </c>
      <c r="X54" s="17">
        <f>W54*(1+Inputs!$D$71)</f>
        <v>0</v>
      </c>
      <c r="Y54" s="17">
        <f>X54*(1+Inputs!$D$71)</f>
        <v>0</v>
      </c>
      <c r="Z54" s="17">
        <f>Y54*(1+Inputs!$D$71)</f>
        <v>0</v>
      </c>
    </row>
    <row r="55" spans="2:26" x14ac:dyDescent="0.25">
      <c r="B55" t="str">
        <f>IF(Inputs!D2="Metric","Synthetic Crude Oil Sale Price ($/Liter)","Synthetic Crude Oil Sale Price ($/Gallon)")</f>
        <v>Synthetic Crude Oil Sale Price ($/Gallon)</v>
      </c>
      <c r="C55" s="32"/>
      <c r="D55" s="17">
        <f>Inputs!D61</f>
        <v>0</v>
      </c>
      <c r="E55" s="17">
        <f>D55*(1+Inputs!$D$70)</f>
        <v>0</v>
      </c>
      <c r="F55" s="17">
        <f>E55*(1+Inputs!$D$70)</f>
        <v>0</v>
      </c>
      <c r="G55" s="17">
        <f>F55*(1+Inputs!$D$70)</f>
        <v>0</v>
      </c>
      <c r="H55" s="17">
        <f>G55*(1+Inputs!$D$70)</f>
        <v>0</v>
      </c>
      <c r="I55" s="17">
        <f>H55*(1+Inputs!$D$70)</f>
        <v>0</v>
      </c>
      <c r="J55" s="17">
        <f>I55*(1+Inputs!$D$70)</f>
        <v>0</v>
      </c>
      <c r="K55" s="17">
        <f>J55*(1+Inputs!$D$70)</f>
        <v>0</v>
      </c>
      <c r="L55" s="17">
        <f>K55*(1+Inputs!$D$70)</f>
        <v>0</v>
      </c>
      <c r="M55" s="17">
        <f>L55*(1+Inputs!$D$70)</f>
        <v>0</v>
      </c>
      <c r="N55" s="17">
        <f>M55*(1+Inputs!$D$70)</f>
        <v>0</v>
      </c>
      <c r="O55" s="17">
        <f>N55*(1+Inputs!$D$70)</f>
        <v>0</v>
      </c>
      <c r="P55" s="17">
        <f>O55*(1+Inputs!$D$70)</f>
        <v>0</v>
      </c>
      <c r="Q55" s="17">
        <f>P55*(1+Inputs!$D$70)</f>
        <v>0</v>
      </c>
      <c r="R55" s="17">
        <f>Q55*(1+Inputs!$D$70)</f>
        <v>0</v>
      </c>
      <c r="S55" s="17">
        <f>R55*(1+Inputs!$D$70)</f>
        <v>0</v>
      </c>
      <c r="T55" s="17">
        <f>S55*(1+Inputs!$D$70)</f>
        <v>0</v>
      </c>
      <c r="U55" s="17">
        <f>T55*(1+Inputs!$D$70)</f>
        <v>0</v>
      </c>
      <c r="V55" s="17">
        <f>U55*(1+Inputs!$D$70)</f>
        <v>0</v>
      </c>
      <c r="W55" s="17">
        <f>V55*(1+Inputs!$D$70)</f>
        <v>0</v>
      </c>
      <c r="X55" s="17">
        <f>W55*(1+Inputs!$D$70)</f>
        <v>0</v>
      </c>
      <c r="Y55" s="17">
        <f>X55*(1+Inputs!$D$70)</f>
        <v>0</v>
      </c>
      <c r="Z55" s="17">
        <f>Y55*(1+Inputs!$D$70)</f>
        <v>0</v>
      </c>
    </row>
    <row r="56" spans="2:26" x14ac:dyDescent="0.25">
      <c r="B56" t="str">
        <f>IF(Inputs!D2="Metric","Middle Distillate Sale Price ($/Liter)","Middle Distillate Sale Price ($/Gallon)")</f>
        <v>Middle Distillate Sale Price ($/Gallon)</v>
      </c>
      <c r="C56" s="32"/>
      <c r="D56" s="17">
        <f>Inputs!D62</f>
        <v>0</v>
      </c>
      <c r="E56" s="17">
        <f>D56*(1+Inputs!$D$70)</f>
        <v>0</v>
      </c>
      <c r="F56" s="17">
        <f>E56*(1+Inputs!$D$70)</f>
        <v>0</v>
      </c>
      <c r="G56" s="17">
        <f>F56*(1+Inputs!$D$70)</f>
        <v>0</v>
      </c>
      <c r="H56" s="17">
        <f>G56*(1+Inputs!$D$70)</f>
        <v>0</v>
      </c>
      <c r="I56" s="17">
        <f>H56*(1+Inputs!$D$70)</f>
        <v>0</v>
      </c>
      <c r="J56" s="17">
        <f>I56*(1+Inputs!$D$70)</f>
        <v>0</v>
      </c>
      <c r="K56" s="17">
        <f>J56*(1+Inputs!$D$70)</f>
        <v>0</v>
      </c>
      <c r="L56" s="17">
        <f>K56*(1+Inputs!$D$70)</f>
        <v>0</v>
      </c>
      <c r="M56" s="17">
        <f>L56*(1+Inputs!$D$70)</f>
        <v>0</v>
      </c>
      <c r="N56" s="17">
        <f>M56*(1+Inputs!$D$70)</f>
        <v>0</v>
      </c>
      <c r="O56" s="17">
        <f>N56*(1+Inputs!$D$70)</f>
        <v>0</v>
      </c>
      <c r="P56" s="17">
        <f>O56*(1+Inputs!$D$70)</f>
        <v>0</v>
      </c>
      <c r="Q56" s="17">
        <f>P56*(1+Inputs!$D$70)</f>
        <v>0</v>
      </c>
      <c r="R56" s="17">
        <f>Q56*(1+Inputs!$D$70)</f>
        <v>0</v>
      </c>
      <c r="S56" s="17">
        <f>R56*(1+Inputs!$D$70)</f>
        <v>0</v>
      </c>
      <c r="T56" s="17">
        <f>S56*(1+Inputs!$D$70)</f>
        <v>0</v>
      </c>
      <c r="U56" s="17">
        <f>T56*(1+Inputs!$D$70)</f>
        <v>0</v>
      </c>
      <c r="V56" s="17">
        <f>U56*(1+Inputs!$D$70)</f>
        <v>0</v>
      </c>
      <c r="W56" s="17">
        <f>V56*(1+Inputs!$D$70)</f>
        <v>0</v>
      </c>
      <c r="X56" s="17">
        <f>W56*(1+Inputs!$D$70)</f>
        <v>0</v>
      </c>
      <c r="Y56" s="17">
        <f>X56*(1+Inputs!$D$70)</f>
        <v>0</v>
      </c>
      <c r="Z56" s="17">
        <f>Y56*(1+Inputs!$D$70)</f>
        <v>0</v>
      </c>
    </row>
    <row r="57" spans="2:26" x14ac:dyDescent="0.25">
      <c r="B57" t="str">
        <f>IF(Inputs!D2="Metric","Light Distillate Sale Price ($/Liter)","Light Distillate Sale Price ($/Gallon)")</f>
        <v>Light Distillate Sale Price ($/Gallon)</v>
      </c>
      <c r="C57" s="32"/>
      <c r="D57" s="17">
        <f>Inputs!D63</f>
        <v>0</v>
      </c>
      <c r="E57" s="17">
        <f>D57*(1+Inputs!$D$70)</f>
        <v>0</v>
      </c>
      <c r="F57" s="17">
        <f>E57*(1+Inputs!$D$70)</f>
        <v>0</v>
      </c>
      <c r="G57" s="17">
        <f>F57*(1+Inputs!$D$70)</f>
        <v>0</v>
      </c>
      <c r="H57" s="17">
        <f>G57*(1+Inputs!$D$70)</f>
        <v>0</v>
      </c>
      <c r="I57" s="17">
        <f>H57*(1+Inputs!$D$70)</f>
        <v>0</v>
      </c>
      <c r="J57" s="17">
        <f>I57*(1+Inputs!$D$70)</f>
        <v>0</v>
      </c>
      <c r="K57" s="17">
        <f>J57*(1+Inputs!$D$70)</f>
        <v>0</v>
      </c>
      <c r="L57" s="17">
        <f>K57*(1+Inputs!$D$70)</f>
        <v>0</v>
      </c>
      <c r="M57" s="17">
        <f>L57*(1+Inputs!$D$70)</f>
        <v>0</v>
      </c>
      <c r="N57" s="17">
        <f>M57*(1+Inputs!$D$70)</f>
        <v>0</v>
      </c>
      <c r="O57" s="17">
        <f>N57*(1+Inputs!$D$70)</f>
        <v>0</v>
      </c>
      <c r="P57" s="17">
        <f>O57*(1+Inputs!$D$70)</f>
        <v>0</v>
      </c>
      <c r="Q57" s="17">
        <f>P57*(1+Inputs!$D$70)</f>
        <v>0</v>
      </c>
      <c r="R57" s="17">
        <f>Q57*(1+Inputs!$D$70)</f>
        <v>0</v>
      </c>
      <c r="S57" s="17">
        <f>R57*(1+Inputs!$D$70)</f>
        <v>0</v>
      </c>
      <c r="T57" s="17">
        <f>S57*(1+Inputs!$D$70)</f>
        <v>0</v>
      </c>
      <c r="U57" s="17">
        <f>T57*(1+Inputs!$D$70)</f>
        <v>0</v>
      </c>
      <c r="V57" s="17">
        <f>U57*(1+Inputs!$D$70)</f>
        <v>0</v>
      </c>
      <c r="W57" s="17">
        <f>V57*(1+Inputs!$D$70)</f>
        <v>0</v>
      </c>
      <c r="X57" s="17">
        <f>W57*(1+Inputs!$D$70)</f>
        <v>0</v>
      </c>
      <c r="Y57" s="17">
        <f>X57*(1+Inputs!$D$70)</f>
        <v>0</v>
      </c>
      <c r="Z57" s="17">
        <f>Y57*(1+Inputs!$D$70)</f>
        <v>0</v>
      </c>
    </row>
    <row r="58" spans="2:26" x14ac:dyDescent="0.25">
      <c r="B58" t="str">
        <f>IF(Inputs!D2="Metric","Heavy Distillate Sale Price ($/Liter)","Heavy Distillate Sale Price ($/Gallon)")</f>
        <v>Heavy Distillate Sale Price ($/Gallon)</v>
      </c>
      <c r="C58" s="32"/>
      <c r="D58" s="17">
        <f>Inputs!D64</f>
        <v>0</v>
      </c>
      <c r="E58" s="17">
        <f>D58*(1+Inputs!$D$70)</f>
        <v>0</v>
      </c>
      <c r="F58" s="17">
        <f>E58*(1+Inputs!$D$70)</f>
        <v>0</v>
      </c>
      <c r="G58" s="17">
        <f>F58*(1+Inputs!$D$70)</f>
        <v>0</v>
      </c>
      <c r="H58" s="17">
        <f>G58*(1+Inputs!$D$70)</f>
        <v>0</v>
      </c>
      <c r="I58" s="17">
        <f>H58*(1+Inputs!$D$70)</f>
        <v>0</v>
      </c>
      <c r="J58" s="17">
        <f>I58*(1+Inputs!$D$70)</f>
        <v>0</v>
      </c>
      <c r="K58" s="17">
        <f>J58*(1+Inputs!$D$70)</f>
        <v>0</v>
      </c>
      <c r="L58" s="17">
        <f>K58*(1+Inputs!$D$70)</f>
        <v>0</v>
      </c>
      <c r="M58" s="17">
        <f>L58*(1+Inputs!$D$70)</f>
        <v>0</v>
      </c>
      <c r="N58" s="17">
        <f>M58*(1+Inputs!$D$70)</f>
        <v>0</v>
      </c>
      <c r="O58" s="17">
        <f>N58*(1+Inputs!$D$70)</f>
        <v>0</v>
      </c>
      <c r="P58" s="17">
        <f>O58*(1+Inputs!$D$70)</f>
        <v>0</v>
      </c>
      <c r="Q58" s="17">
        <f>P58*(1+Inputs!$D$70)</f>
        <v>0</v>
      </c>
      <c r="R58" s="17">
        <f>Q58*(1+Inputs!$D$70)</f>
        <v>0</v>
      </c>
      <c r="S58" s="17">
        <f>R58*(1+Inputs!$D$70)</f>
        <v>0</v>
      </c>
      <c r="T58" s="17">
        <f>S58*(1+Inputs!$D$70)</f>
        <v>0</v>
      </c>
      <c r="U58" s="17">
        <f>T58*(1+Inputs!$D$70)</f>
        <v>0</v>
      </c>
      <c r="V58" s="17">
        <f>U58*(1+Inputs!$D$70)</f>
        <v>0</v>
      </c>
      <c r="W58" s="17">
        <f>V58*(1+Inputs!$D$70)</f>
        <v>0</v>
      </c>
      <c r="X58" s="17">
        <f>W58*(1+Inputs!$D$70)</f>
        <v>0</v>
      </c>
      <c r="Y58" s="17">
        <f>X58*(1+Inputs!$D$70)</f>
        <v>0</v>
      </c>
      <c r="Z58" s="17">
        <f>Y58*(1+Inputs!$D$70)</f>
        <v>0</v>
      </c>
    </row>
    <row r="59" spans="2:26" x14ac:dyDescent="0.25">
      <c r="B59" s="211" t="str">
        <f>IF(Inputs!D2="Metric","Weighted Avg. Sale Price of Recycled Plastic ($/Tonne)","Weighted Avg. Sale Price of Recycled Plastic ($/Ton)")</f>
        <v>Weighted Avg. Sale Price of Recycled Plastic ($/Ton)</v>
      </c>
      <c r="C59" s="32"/>
      <c r="D59" s="17">
        <f>Inputs!D66</f>
        <v>0</v>
      </c>
      <c r="E59" s="17">
        <f>D59*(1+Inputs!$D$72)</f>
        <v>0</v>
      </c>
      <c r="F59" s="17">
        <f>E59*(1+Inputs!$D$72)</f>
        <v>0</v>
      </c>
      <c r="G59" s="17">
        <f>F59*(1+Inputs!$D$72)</f>
        <v>0</v>
      </c>
      <c r="H59" s="17">
        <f>G59*(1+Inputs!$D$72)</f>
        <v>0</v>
      </c>
      <c r="I59" s="17">
        <f>H59*(1+Inputs!$D$72)</f>
        <v>0</v>
      </c>
      <c r="J59" s="17">
        <f>I59*(1+Inputs!$D$72)</f>
        <v>0</v>
      </c>
      <c r="K59" s="17">
        <f>J59*(1+Inputs!$D$72)</f>
        <v>0</v>
      </c>
      <c r="L59" s="17">
        <f>K59*(1+Inputs!$D$72)</f>
        <v>0</v>
      </c>
      <c r="M59" s="17">
        <f>L59*(1+Inputs!$D$72)</f>
        <v>0</v>
      </c>
      <c r="N59" s="17">
        <f>M59*(1+Inputs!$D$72)</f>
        <v>0</v>
      </c>
      <c r="O59" s="17">
        <f>N59*(1+Inputs!$D$72)</f>
        <v>0</v>
      </c>
      <c r="P59" s="17">
        <f>O59*(1+Inputs!$D$72)</f>
        <v>0</v>
      </c>
      <c r="Q59" s="17">
        <f>P59*(1+Inputs!$D$72)</f>
        <v>0</v>
      </c>
      <c r="R59" s="17">
        <f>Q59*(1+Inputs!$D$72)</f>
        <v>0</v>
      </c>
      <c r="S59" s="17">
        <f>R59*(1+Inputs!$D$72)</f>
        <v>0</v>
      </c>
      <c r="T59" s="17">
        <f>S59*(1+Inputs!$D$72)</f>
        <v>0</v>
      </c>
      <c r="U59" s="17">
        <f>T59*(1+Inputs!$D$72)</f>
        <v>0</v>
      </c>
      <c r="V59" s="17">
        <f>U59*(1+Inputs!$D$72)</f>
        <v>0</v>
      </c>
      <c r="W59" s="17">
        <f>V59*(1+Inputs!$D$72)</f>
        <v>0</v>
      </c>
      <c r="X59" s="17">
        <f>W59*(1+Inputs!$D$72)</f>
        <v>0</v>
      </c>
      <c r="Y59" s="17">
        <f>X59*(1+Inputs!$D$72)</f>
        <v>0</v>
      </c>
      <c r="Z59" s="17">
        <f>Y59*(1+Inputs!$D$72)</f>
        <v>0</v>
      </c>
    </row>
    <row r="60" spans="2:26" x14ac:dyDescent="0.25">
      <c r="B60" s="211" t="str">
        <f>IF(Inputs!D2="Metric","Weighted Avg. Sale Price of Recycled Metal ($/Tonne)","Weighted Avg. Sale Price of Recycled Metal ($/Ton)")</f>
        <v>Weighted Avg. Sale Price of Recycled Metal ($/Ton)</v>
      </c>
      <c r="C60" s="32"/>
      <c r="D60" s="17">
        <f>Inputs!D67</f>
        <v>0</v>
      </c>
      <c r="E60" s="17">
        <f>D60*(1+Inputs!$D$72)</f>
        <v>0</v>
      </c>
      <c r="F60" s="17">
        <f>E60*(1+Inputs!$D$72)</f>
        <v>0</v>
      </c>
      <c r="G60" s="17">
        <f>F60*(1+Inputs!$D$72)</f>
        <v>0</v>
      </c>
      <c r="H60" s="17">
        <f>G60*(1+Inputs!$D$72)</f>
        <v>0</v>
      </c>
      <c r="I60" s="17">
        <f>H60*(1+Inputs!$D$72)</f>
        <v>0</v>
      </c>
      <c r="J60" s="17">
        <f>I60*(1+Inputs!$D$72)</f>
        <v>0</v>
      </c>
      <c r="K60" s="17">
        <f>J60*(1+Inputs!$D$72)</f>
        <v>0</v>
      </c>
      <c r="L60" s="17">
        <f>K60*(1+Inputs!$D$72)</f>
        <v>0</v>
      </c>
      <c r="M60" s="17">
        <f>L60*(1+Inputs!$D$72)</f>
        <v>0</v>
      </c>
      <c r="N60" s="17">
        <f>M60*(1+Inputs!$D$72)</f>
        <v>0</v>
      </c>
      <c r="O60" s="17">
        <f>N60*(1+Inputs!$D$72)</f>
        <v>0</v>
      </c>
      <c r="P60" s="17">
        <f>O60*(1+Inputs!$D$72)</f>
        <v>0</v>
      </c>
      <c r="Q60" s="17">
        <f>P60*(1+Inputs!$D$72)</f>
        <v>0</v>
      </c>
      <c r="R60" s="17">
        <f>Q60*(1+Inputs!$D$72)</f>
        <v>0</v>
      </c>
      <c r="S60" s="17">
        <f>R60*(1+Inputs!$D$72)</f>
        <v>0</v>
      </c>
      <c r="T60" s="17">
        <f>S60*(1+Inputs!$D$72)</f>
        <v>0</v>
      </c>
      <c r="U60" s="17">
        <f>T60*(1+Inputs!$D$72)</f>
        <v>0</v>
      </c>
      <c r="V60" s="17">
        <f>U60*(1+Inputs!$D$72)</f>
        <v>0</v>
      </c>
      <c r="W60" s="17">
        <f>V60*(1+Inputs!$D$72)</f>
        <v>0</v>
      </c>
      <c r="X60" s="17">
        <f>W60*(1+Inputs!$D$72)</f>
        <v>0</v>
      </c>
      <c r="Y60" s="17">
        <f>X60*(1+Inputs!$D$72)</f>
        <v>0</v>
      </c>
      <c r="Z60" s="17">
        <f>Y60*(1+Inputs!$D$72)</f>
        <v>0</v>
      </c>
    </row>
    <row r="61" spans="2:26" x14ac:dyDescent="0.25">
      <c r="B61" t="s">
        <v>142</v>
      </c>
      <c r="C61" s="32"/>
      <c r="D61" s="17">
        <f>Inputs!D41</f>
        <v>0</v>
      </c>
      <c r="E61" s="17">
        <f>D61*(1+Inputs!$D$73)</f>
        <v>0</v>
      </c>
      <c r="F61" s="17">
        <f>E61*(1+Inputs!$D$73)</f>
        <v>0</v>
      </c>
      <c r="G61" s="17">
        <f>F61*(1+Inputs!$D$73)</f>
        <v>0</v>
      </c>
      <c r="H61" s="17">
        <f>G61*(1+Inputs!$D$73)</f>
        <v>0</v>
      </c>
      <c r="I61" s="17">
        <f>H61*(1+Inputs!$D$73)</f>
        <v>0</v>
      </c>
      <c r="J61" s="17">
        <f>I61*(1+Inputs!$D$73)</f>
        <v>0</v>
      </c>
      <c r="K61" s="17">
        <f>J61*(1+Inputs!$D$73)</f>
        <v>0</v>
      </c>
      <c r="L61" s="17">
        <f>K61*(1+Inputs!$D$73)</f>
        <v>0</v>
      </c>
      <c r="M61" s="17">
        <f>L61*(1+Inputs!$D$73)</f>
        <v>0</v>
      </c>
      <c r="N61" s="17">
        <f>M61*(1+Inputs!$D$73)</f>
        <v>0</v>
      </c>
      <c r="O61" s="17">
        <f>N61*(1+Inputs!$D$73)</f>
        <v>0</v>
      </c>
      <c r="P61" s="17">
        <f>O61*(1+Inputs!$D$73)</f>
        <v>0</v>
      </c>
      <c r="Q61" s="17">
        <f>P61*(1+Inputs!$D$73)</f>
        <v>0</v>
      </c>
      <c r="R61" s="17">
        <f>Q61*(1+Inputs!$D$73)</f>
        <v>0</v>
      </c>
      <c r="S61" s="17">
        <f>R61*(1+Inputs!$D$73)</f>
        <v>0</v>
      </c>
      <c r="T61" s="17">
        <f>S61*(1+Inputs!$D$73)</f>
        <v>0</v>
      </c>
      <c r="U61" s="17">
        <f>T61*(1+Inputs!$D$73)</f>
        <v>0</v>
      </c>
      <c r="V61" s="17">
        <f>U61*(1+Inputs!$D$73)</f>
        <v>0</v>
      </c>
      <c r="W61" s="17">
        <f>V61*(1+Inputs!$D$73)</f>
        <v>0</v>
      </c>
      <c r="X61" s="17">
        <f>W61*(1+Inputs!$D$73)</f>
        <v>0</v>
      </c>
      <c r="Y61" s="17">
        <f>X61*(1+Inputs!$D$73)</f>
        <v>0</v>
      </c>
      <c r="Z61" s="17">
        <f>Y61*(1+Inputs!$D$73)</f>
        <v>0</v>
      </c>
    </row>
    <row r="62" spans="2:26" x14ac:dyDescent="0.25">
      <c r="B62" t="s">
        <v>111</v>
      </c>
      <c r="C62" s="32"/>
      <c r="D62" s="17">
        <f>IF(AND(D20&gt;0,D20&lt;=Inputs!$D$10),((Inputs!$D$55*(Inputs!$D$37+Inputs!$D$38+Inputs!$D$40))*(1+Inputs!$D$73)^D20),0)</f>
        <v>0</v>
      </c>
      <c r="E62" s="17">
        <f>IF(AND(E20&gt;0,E20&lt;=Inputs!$D$10),((Inputs!$D$55*(Inputs!$D$37+Inputs!$D$38+Inputs!$D$40))*(1+Inputs!$D$73)^E20),0)</f>
        <v>0</v>
      </c>
      <c r="F62" s="17">
        <f>IF(AND(F20&gt;0,F20&lt;=Inputs!$D$10),((Inputs!$D$55*(Inputs!$D$37+Inputs!$D$38+Inputs!$D$40))*(1+Inputs!$D$73)^F20),0)</f>
        <v>0</v>
      </c>
      <c r="G62" s="17">
        <f>IF(AND(G20&gt;0,G20&lt;=Inputs!$D$10),((Inputs!$D$55*(Inputs!$D$37+Inputs!$D$38+Inputs!$D$40))*(1+Inputs!$D$73)^G20),0)</f>
        <v>0</v>
      </c>
      <c r="H62" s="17">
        <f>IF(AND(H20&gt;0,H20&lt;=Inputs!$D$10),((Inputs!$D$55*(Inputs!$D$37+Inputs!$D$38+Inputs!$D$40))*(1+Inputs!$D$73)^H20),0)</f>
        <v>0</v>
      </c>
      <c r="I62" s="17">
        <f>IF(AND(I20&gt;0,I20&lt;=Inputs!$D$10),((Inputs!$D$55*(Inputs!$D$37+Inputs!$D$38+Inputs!$D$40))*(1+Inputs!$D$73)^I20),0)</f>
        <v>0</v>
      </c>
      <c r="J62" s="17">
        <f>IF(AND(J20&gt;0,J20&lt;=Inputs!$D$10),((Inputs!$D$55*(Inputs!$D$37+Inputs!$D$38+Inputs!$D$40))*(1+Inputs!$D$73)^J20),0)</f>
        <v>0</v>
      </c>
      <c r="K62" s="17">
        <f>IF(AND(K20&gt;0,K20&lt;=Inputs!$D$10),((Inputs!$D$55*(Inputs!$D$37+Inputs!$D$38+Inputs!$D$40))*(1+Inputs!$D$73)^K20),0)</f>
        <v>0</v>
      </c>
      <c r="L62" s="17">
        <f>IF(AND(L20&gt;0,L20&lt;=Inputs!$D$10),((Inputs!$D$55*(Inputs!$D$37+Inputs!$D$38+Inputs!$D$40))*(1+Inputs!$D$73)^L20),0)</f>
        <v>0</v>
      </c>
      <c r="M62" s="17">
        <f>IF(AND(M20&gt;0,M20&lt;=Inputs!$D$10),((Inputs!$D$55*(Inputs!$D$37+Inputs!$D$38+Inputs!$D$40))*(1+Inputs!$D$73)^M20),0)</f>
        <v>0</v>
      </c>
      <c r="N62" s="17">
        <f>IF(AND(N20&gt;0,N20&lt;=Inputs!$D$10),((Inputs!$D$55*(Inputs!$D$37+Inputs!$D$38+Inputs!$D$40))*(1+Inputs!$D$73)^N20),0)</f>
        <v>0</v>
      </c>
      <c r="O62" s="17">
        <f>IF(AND(O20&gt;0,O20&lt;=Inputs!$D$10),((Inputs!$D$55*(Inputs!$D$37+Inputs!$D$38+Inputs!$D$40))*(1+Inputs!$D$73)^O20),0)</f>
        <v>0</v>
      </c>
      <c r="P62" s="17">
        <f>IF(AND(P20&gt;0,P20&lt;=Inputs!$D$10),((Inputs!$D$55*(Inputs!$D$37+Inputs!$D$38+Inputs!$D$40))*(1+Inputs!$D$73)^P20),0)</f>
        <v>0</v>
      </c>
      <c r="Q62" s="17">
        <f>IF(AND(Q20&gt;0,Q20&lt;=Inputs!$D$10),((Inputs!$D$55*(Inputs!$D$37+Inputs!$D$38+Inputs!$D$40))*(1+Inputs!$D$73)^Q20),0)</f>
        <v>0</v>
      </c>
      <c r="R62" s="17">
        <f>IF(AND(R20&gt;0,R20&lt;=Inputs!$D$10),((Inputs!$D$55*(Inputs!$D$37+Inputs!$D$38+Inputs!$D$40))*(1+Inputs!$D$73)^R20),0)</f>
        <v>0</v>
      </c>
      <c r="S62" s="17">
        <f>IF(AND(S20&gt;0,S20&lt;=Inputs!$D$10),((Inputs!$D$55*(Inputs!$D$37+Inputs!$D$38+Inputs!$D$40))*(1+Inputs!$D$73)^S20),0)</f>
        <v>0</v>
      </c>
      <c r="T62" s="17">
        <f>IF(AND(T20&gt;0,T20&lt;=Inputs!$D$10),((Inputs!$D$55*(Inputs!$D$37+Inputs!$D$38+Inputs!$D$40))*(1+Inputs!$D$73)^T20),0)</f>
        <v>0</v>
      </c>
      <c r="U62" s="17">
        <f>IF(AND(U20&gt;0,U20&lt;=Inputs!$D$10),((Inputs!$D$55*(Inputs!$D$37+Inputs!$D$38+Inputs!$D$40))*(1+Inputs!$D$73)^U20),0)</f>
        <v>0</v>
      </c>
      <c r="V62" s="17">
        <f>IF(AND(V20&gt;0,V20&lt;=Inputs!$D$10),((Inputs!$D$55*(Inputs!$D$37+Inputs!$D$38+Inputs!$D$40))*(1+Inputs!$D$73)^V20),0)</f>
        <v>0</v>
      </c>
      <c r="W62" s="17">
        <f>IF(AND(W20&gt;0,W20&lt;=Inputs!$D$10),((Inputs!$D$55*(Inputs!$D$37+Inputs!$D$38+Inputs!$D$40))*(1+Inputs!$D$73)^W20),0)</f>
        <v>0</v>
      </c>
      <c r="X62" s="17">
        <f>IF(AND(X20&gt;0,X20&lt;=Inputs!$D$10),((Inputs!$D$55*(Inputs!$D$37+Inputs!$D$38+Inputs!$D$40))*(1+Inputs!$D$73)^X20),0)</f>
        <v>0</v>
      </c>
      <c r="Y62" s="17">
        <f>IF(AND(Y20&gt;0,Y20&lt;=Inputs!$D$10),((Inputs!$D$55*(Inputs!$D$37+Inputs!$D$38+Inputs!$D$40))*(1+Inputs!$D$73)^Y20),0)</f>
        <v>0</v>
      </c>
      <c r="Z62" s="17">
        <f>IF(AND(Z20&gt;0,Z20&lt;=Inputs!$D$10),((Inputs!$D$55*(Inputs!$D$37+Inputs!$D$38+Inputs!$D$40))*(1+Inputs!$D$73)^Z20),0)</f>
        <v>0</v>
      </c>
    </row>
    <row r="63" spans="2:26" x14ac:dyDescent="0.25">
      <c r="B63" t="s">
        <v>112</v>
      </c>
      <c r="C63" s="32"/>
      <c r="D63" s="17">
        <f>IF(AND(D19&gt;=Inputs!$D$9,D19&lt;Inputs!$D$8+Inputs!$D$10),((Inputs!$D$54*(Inputs!$D$37+Inputs!$D$38+Inputs!$D$40))*(1+Inputs!$D$73)^D20),0)</f>
        <v>0</v>
      </c>
      <c r="E63" s="17">
        <f>IF(AND(E19&gt;=Inputs!$D$9,E19&lt;Inputs!$D$8+Inputs!$D$10),((Inputs!$D$54*(Inputs!$D$37+Inputs!$D$38+Inputs!$D$40))*(1+Inputs!$D$73)^E20),0)</f>
        <v>0</v>
      </c>
      <c r="F63" s="17">
        <f>IF(AND(F19&gt;=Inputs!$D$9,F19&lt;Inputs!$D$8+Inputs!$D$10),((Inputs!$D$54*(Inputs!$D$37+Inputs!$D$38+Inputs!$D$40))*(1+Inputs!$D$73)^F20),0)</f>
        <v>0</v>
      </c>
      <c r="G63" s="17">
        <f>IF(AND(G19&gt;=Inputs!$D$9,G19&lt;Inputs!$D$8+Inputs!$D$10),((Inputs!$D$54*(Inputs!$D$37+Inputs!$D$38+Inputs!$D$40))*(1+Inputs!$D$73)^G20),0)</f>
        <v>0</v>
      </c>
      <c r="H63" s="17">
        <f>IF(AND(H19&gt;=Inputs!$D$9,H19&lt;Inputs!$D$8+Inputs!$D$10),((Inputs!$D$54*(Inputs!$D$37+Inputs!$D$38+Inputs!$D$40))*(1+Inputs!$D$73)^H20),0)</f>
        <v>0</v>
      </c>
      <c r="I63" s="17">
        <f>IF(AND(I19&gt;=Inputs!$D$9,I19&lt;Inputs!$D$8+Inputs!$D$10),((Inputs!$D$54*(Inputs!$D$37+Inputs!$D$38+Inputs!$D$40))*(1+Inputs!$D$73)^I20),0)</f>
        <v>0</v>
      </c>
      <c r="J63" s="17">
        <f>IF(AND(J19&gt;=Inputs!$D$9,J19&lt;Inputs!$D$8+Inputs!$D$10),((Inputs!$D$54*(Inputs!$D$37+Inputs!$D$38+Inputs!$D$40))*(1+Inputs!$D$73)^J20),0)</f>
        <v>0</v>
      </c>
      <c r="K63" s="17">
        <f>IF(AND(K19&gt;=Inputs!$D$9,K19&lt;Inputs!$D$8+Inputs!$D$10),((Inputs!$D$54*(Inputs!$D$37+Inputs!$D$38+Inputs!$D$40))*(1+Inputs!$D$73)^K20),0)</f>
        <v>0</v>
      </c>
      <c r="L63" s="17">
        <f>IF(AND(L19&gt;=Inputs!$D$9,L19&lt;Inputs!$D$8+Inputs!$D$10),((Inputs!$D$54*(Inputs!$D$37+Inputs!$D$38+Inputs!$D$40))*(1+Inputs!$D$73)^L20),0)</f>
        <v>0</v>
      </c>
      <c r="M63" s="17">
        <f>IF(AND(M19&gt;=Inputs!$D$9,M19&lt;Inputs!$D$8+Inputs!$D$10),((Inputs!$D$54*(Inputs!$D$37+Inputs!$D$38+Inputs!$D$40))*(1+Inputs!$D$73)^M20),0)</f>
        <v>0</v>
      </c>
      <c r="N63" s="17">
        <f>IF(AND(N19&gt;=Inputs!$D$9,N19&lt;Inputs!$D$8+Inputs!$D$10),((Inputs!$D$54*(Inputs!$D$37+Inputs!$D$38+Inputs!$D$40))*(1+Inputs!$D$73)^N20),0)</f>
        <v>0</v>
      </c>
      <c r="O63" s="17">
        <f>IF(AND(O19&gt;=Inputs!$D$9,O19&lt;Inputs!$D$8+Inputs!$D$10),((Inputs!$D$54*(Inputs!$D$37+Inputs!$D$38+Inputs!$D$40))*(1+Inputs!$D$73)^O20),0)</f>
        <v>0</v>
      </c>
      <c r="P63" s="17">
        <f>IF(AND(P19&gt;=Inputs!$D$9,P19&lt;Inputs!$D$8+Inputs!$D$10),((Inputs!$D$54*(Inputs!$D$37+Inputs!$D$38+Inputs!$D$40))*(1+Inputs!$D$73)^P20),0)</f>
        <v>0</v>
      </c>
      <c r="Q63" s="17">
        <f>IF(AND(Q19&gt;=Inputs!$D$9,Q19&lt;Inputs!$D$8+Inputs!$D$10),((Inputs!$D$54*(Inputs!$D$37+Inputs!$D$38+Inputs!$D$40))*(1+Inputs!$D$73)^Q20),0)</f>
        <v>0</v>
      </c>
      <c r="R63" s="17">
        <f>IF(AND(R19&gt;=Inputs!$D$9,R19&lt;Inputs!$D$8+Inputs!$D$10),((Inputs!$D$54*(Inputs!$D$37+Inputs!$D$38+Inputs!$D$40))*(1+Inputs!$D$73)^R20),0)</f>
        <v>0</v>
      </c>
      <c r="S63" s="17">
        <f>IF(AND(S19&gt;=Inputs!$D$9,S19&lt;Inputs!$D$8+Inputs!$D$10),((Inputs!$D$54*(Inputs!$D$37+Inputs!$D$38+Inputs!$D$40))*(1+Inputs!$D$73)^S20),0)</f>
        <v>0</v>
      </c>
      <c r="T63" s="17">
        <f>IF(AND(T19&gt;=Inputs!$D$9,T19&lt;Inputs!$D$8+Inputs!$D$10),((Inputs!$D$54*(Inputs!$D$37+Inputs!$D$38+Inputs!$D$40))*(1+Inputs!$D$73)^T20),0)</f>
        <v>0</v>
      </c>
      <c r="U63" s="17">
        <f>IF(AND(U19&gt;=Inputs!$D$9,U19&lt;Inputs!$D$8+Inputs!$D$10),((Inputs!$D$54*(Inputs!$D$37+Inputs!$D$38+Inputs!$D$40))*(1+Inputs!$D$73)^U20),0)</f>
        <v>0</v>
      </c>
      <c r="V63" s="17">
        <f>IF(AND(V19&gt;=Inputs!$D$9,V19&lt;Inputs!$D$8+Inputs!$D$10),((Inputs!$D$54*(Inputs!$D$37+Inputs!$D$38+Inputs!$D$40))*(1+Inputs!$D$73)^V20),0)</f>
        <v>0</v>
      </c>
      <c r="W63" s="17">
        <f>IF(AND(W19&gt;=Inputs!$D$9,W19&lt;Inputs!$D$8+Inputs!$D$10),((Inputs!$D$54*(Inputs!$D$37+Inputs!$D$38+Inputs!$D$40))*(1+Inputs!$D$73)^W20),0)</f>
        <v>0</v>
      </c>
      <c r="X63" s="17">
        <f>IF(AND(X19&gt;=Inputs!$D$9,X19&lt;Inputs!$D$8+Inputs!$D$10),((Inputs!$D$54*(Inputs!$D$37+Inputs!$D$38+Inputs!$D$40))*(1+Inputs!$D$73)^X20),0)</f>
        <v>0</v>
      </c>
      <c r="Y63" s="17">
        <f>IF(AND(Y19&gt;=Inputs!$D$9,Y19&lt;Inputs!$D$8+Inputs!$D$10),((Inputs!$D$54*(Inputs!$D$37+Inputs!$D$38+Inputs!$D$40))*(1+Inputs!$D$73)^Y20),0)</f>
        <v>0</v>
      </c>
      <c r="Z63" s="17">
        <f>IF(AND(Z19&gt;=Inputs!$D$9,Z19&lt;Inputs!$D$8+Inputs!$D$10),((Inputs!$D$54*(Inputs!$D$37+Inputs!$D$38+Inputs!$D$40))*(1+Inputs!$D$73)^Z20),0)</f>
        <v>0</v>
      </c>
    </row>
    <row r="64" spans="2:26" x14ac:dyDescent="0.25">
      <c r="C64" s="32"/>
    </row>
    <row r="65" spans="2:27" x14ac:dyDescent="0.25">
      <c r="B65" s="31" t="s">
        <v>113</v>
      </c>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2:27" s="36" customFormat="1" x14ac:dyDescent="0.25">
      <c r="B66" s="33" t="s">
        <v>143</v>
      </c>
      <c r="C66" s="34"/>
      <c r="D66" s="35">
        <f>IF(AND(D20&gt;0,D20&lt;=Inputs!$D$10),(D55*D35)+(D56*D37)+(D39*D57)+(D41*D58),0)</f>
        <v>0</v>
      </c>
      <c r="E66" s="35">
        <f>IF(AND(E20&gt;0,E20&lt;=Inputs!$D$10),(E55*E35)+(E56*E37)+(E39*E57)+(E41*E58),0)</f>
        <v>0</v>
      </c>
      <c r="F66" s="35">
        <f>IF(AND(F20&gt;0,F20&lt;=Inputs!$D$10),(F55*F35)+(F56*F37)+(F39*F57)+(F41*F58),0)</f>
        <v>0</v>
      </c>
      <c r="G66" s="35">
        <f>IF(AND(G20&gt;0,G20&lt;=Inputs!$D$10),(G55*G35)+(G56*G37)+(G39*G57)+(G41*G58),0)</f>
        <v>0</v>
      </c>
      <c r="H66" s="35">
        <f>IF(AND(H20&gt;0,H20&lt;=Inputs!$D$10),(H55*H35)+(H56*H37)+(H39*H57)+(H41*H58),0)</f>
        <v>0</v>
      </c>
      <c r="I66" s="35">
        <f>IF(AND(I20&gt;0,I20&lt;=Inputs!$D$10),(I55*I35)+(I56*I37)+(I39*I57)+(I41*I58),0)</f>
        <v>0</v>
      </c>
      <c r="J66" s="35">
        <f>IF(AND(J20&gt;0,J20&lt;=Inputs!$D$10),(J55*J35)+(J56*J37)+(J39*J57)+(J41*J58),0)</f>
        <v>0</v>
      </c>
      <c r="K66" s="35">
        <f>IF(AND(K20&gt;0,K20&lt;=Inputs!$D$10),(K55*K35)+(K56*K37)+(K39*K57)+(K41*K58),0)</f>
        <v>0</v>
      </c>
      <c r="L66" s="35">
        <f>IF(AND(L20&gt;0,L20&lt;=Inputs!$D$10),(L55*L35)+(L56*L37)+(L39*L57)+(L41*L58),0)</f>
        <v>0</v>
      </c>
      <c r="M66" s="35">
        <f>IF(AND(M20&gt;0,M20&lt;=Inputs!$D$10),(M55*M35)+(M56*M37)+(M39*M57)+(M41*M58),0)</f>
        <v>0</v>
      </c>
      <c r="N66" s="35">
        <f>IF(AND(N20&gt;0,N20&lt;=Inputs!$D$10),(N55*N35)+(N56*N37)+(N39*N57)+(N41*N58),0)</f>
        <v>0</v>
      </c>
      <c r="O66" s="35">
        <f>IF(AND(O20&gt;0,O20&lt;=Inputs!$D$10),(O55*O35)+(O56*O37)+(O39*O57)+(O41*O58),0)</f>
        <v>0</v>
      </c>
      <c r="P66" s="35">
        <f>IF(AND(P20&gt;0,P20&lt;=Inputs!$D$10),(P55*P35)+(P56*P37)+(P39*P57)+(P41*P58),0)</f>
        <v>0</v>
      </c>
      <c r="Q66" s="35">
        <f>IF(AND(Q20&gt;0,Q20&lt;=Inputs!$D$10),(Q55*Q35)+(Q56*Q37)+(Q39*Q57)+(Q41*Q58),0)</f>
        <v>0</v>
      </c>
      <c r="R66" s="35">
        <f>IF(AND(R20&gt;0,R20&lt;=Inputs!$D$10),(R55*R35)+(R56*R37)+(R39*R57)+(R41*R58),0)</f>
        <v>0</v>
      </c>
      <c r="S66" s="35">
        <f>IF(AND(S20&gt;0,S20&lt;=Inputs!$D$10),(S55*S35)+(S56*S37)+(S39*S57)+(S41*S58),0)</f>
        <v>0</v>
      </c>
      <c r="T66" s="35">
        <f>IF(AND(T20&gt;0,T20&lt;=Inputs!$D$10),(T55*T35)+(T56*T37)+(T39*T57)+(T41*T58),0)</f>
        <v>0</v>
      </c>
      <c r="U66" s="35">
        <f>IF(AND(U20&gt;0,U20&lt;=Inputs!$D$10),(U55*U35)+(U56*U37)+(U39*U57)+(U41*U58),0)</f>
        <v>0</v>
      </c>
      <c r="V66" s="35">
        <f>IF(AND(V20&gt;0,V20&lt;=Inputs!$D$10),(V55*V35)+(V56*V37)+(V39*V57)+(V41*V58),0)</f>
        <v>0</v>
      </c>
      <c r="W66" s="35">
        <f>IF(AND(W20&gt;0,W20&lt;=Inputs!$D$10),(W55*W35)+(W56*W37)+(W39*W57)+(W41*W58),0)</f>
        <v>0</v>
      </c>
      <c r="X66" s="35">
        <f>IF(AND(X20&gt;0,X20&lt;=Inputs!$D$10),(X55*X35)+(X56*X37)+(X39*X57)+(X41*X58),0)</f>
        <v>0</v>
      </c>
      <c r="Y66" s="35">
        <f>IF(AND(Y20&gt;0,Y20&lt;=Inputs!$D$10),(Y55*Y35)+(Y56*Y37)+(Y39*Y57)+(Y41*Y58),0)</f>
        <v>0</v>
      </c>
      <c r="Z66" s="35">
        <f>IF(AND(Z20&gt;0,Z20&lt;=Inputs!$D$10),(Z55*Z35)+(Z56*Z37)+(Z39*Z57)+(Z41*Z58),0)</f>
        <v>0</v>
      </c>
    </row>
    <row r="67" spans="2:27" s="36" customFormat="1" x14ac:dyDescent="0.25">
      <c r="B67" s="33" t="s">
        <v>69</v>
      </c>
      <c r="C67" s="34"/>
      <c r="D67" s="35">
        <f t="shared" ref="D67:Z67" si="1">D47*D22</f>
        <v>0</v>
      </c>
      <c r="E67" s="35">
        <f t="shared" si="1"/>
        <v>0</v>
      </c>
      <c r="F67" s="35">
        <f t="shared" si="1"/>
        <v>0</v>
      </c>
      <c r="G67" s="35">
        <f t="shared" si="1"/>
        <v>0</v>
      </c>
      <c r="H67" s="35">
        <f t="shared" si="1"/>
        <v>0</v>
      </c>
      <c r="I67" s="35">
        <f t="shared" si="1"/>
        <v>0</v>
      </c>
      <c r="J67" s="35">
        <f t="shared" si="1"/>
        <v>0</v>
      </c>
      <c r="K67" s="35">
        <f t="shared" si="1"/>
        <v>0</v>
      </c>
      <c r="L67" s="35">
        <f t="shared" si="1"/>
        <v>0</v>
      </c>
      <c r="M67" s="35">
        <f t="shared" si="1"/>
        <v>0</v>
      </c>
      <c r="N67" s="35">
        <f t="shared" si="1"/>
        <v>0</v>
      </c>
      <c r="O67" s="35">
        <f t="shared" si="1"/>
        <v>0</v>
      </c>
      <c r="P67" s="35">
        <f t="shared" si="1"/>
        <v>0</v>
      </c>
      <c r="Q67" s="35">
        <f t="shared" si="1"/>
        <v>0</v>
      </c>
      <c r="R67" s="35">
        <f t="shared" si="1"/>
        <v>0</v>
      </c>
      <c r="S67" s="35">
        <f t="shared" si="1"/>
        <v>0</v>
      </c>
      <c r="T67" s="35">
        <f t="shared" si="1"/>
        <v>0</v>
      </c>
      <c r="U67" s="35">
        <f t="shared" si="1"/>
        <v>0</v>
      </c>
      <c r="V67" s="35">
        <f t="shared" si="1"/>
        <v>0</v>
      </c>
      <c r="W67" s="35">
        <f t="shared" si="1"/>
        <v>0</v>
      </c>
      <c r="X67" s="35">
        <f t="shared" si="1"/>
        <v>0</v>
      </c>
      <c r="Y67" s="35">
        <f t="shared" si="1"/>
        <v>0</v>
      </c>
      <c r="Z67" s="35">
        <f t="shared" si="1"/>
        <v>0</v>
      </c>
    </row>
    <row r="68" spans="2:27" s="36" customFormat="1" x14ac:dyDescent="0.25">
      <c r="B68" s="33" t="s">
        <v>187</v>
      </c>
      <c r="C68" s="34"/>
      <c r="D68" s="35">
        <f t="shared" ref="D68:Z68" si="2">D53*D22</f>
        <v>0</v>
      </c>
      <c r="E68" s="35">
        <f t="shared" si="2"/>
        <v>0</v>
      </c>
      <c r="F68" s="35">
        <f t="shared" si="2"/>
        <v>0</v>
      </c>
      <c r="G68" s="35">
        <f t="shared" si="2"/>
        <v>0</v>
      </c>
      <c r="H68" s="35">
        <f t="shared" si="2"/>
        <v>0</v>
      </c>
      <c r="I68" s="35">
        <f t="shared" si="2"/>
        <v>0</v>
      </c>
      <c r="J68" s="35">
        <f t="shared" si="2"/>
        <v>0</v>
      </c>
      <c r="K68" s="35">
        <f t="shared" si="2"/>
        <v>0</v>
      </c>
      <c r="L68" s="35">
        <f t="shared" si="2"/>
        <v>0</v>
      </c>
      <c r="M68" s="35">
        <f t="shared" si="2"/>
        <v>0</v>
      </c>
      <c r="N68" s="35">
        <f t="shared" si="2"/>
        <v>0</v>
      </c>
      <c r="O68" s="35">
        <f t="shared" si="2"/>
        <v>0</v>
      </c>
      <c r="P68" s="35">
        <f t="shared" si="2"/>
        <v>0</v>
      </c>
      <c r="Q68" s="35">
        <f t="shared" si="2"/>
        <v>0</v>
      </c>
      <c r="R68" s="35">
        <f t="shared" si="2"/>
        <v>0</v>
      </c>
      <c r="S68" s="35">
        <f t="shared" si="2"/>
        <v>0</v>
      </c>
      <c r="T68" s="35">
        <f t="shared" si="2"/>
        <v>0</v>
      </c>
      <c r="U68" s="35">
        <f t="shared" si="2"/>
        <v>0</v>
      </c>
      <c r="V68" s="35">
        <f t="shared" si="2"/>
        <v>0</v>
      </c>
      <c r="W68" s="35">
        <f t="shared" si="2"/>
        <v>0</v>
      </c>
      <c r="X68" s="35">
        <f t="shared" si="2"/>
        <v>0</v>
      </c>
      <c r="Y68" s="35">
        <f t="shared" si="2"/>
        <v>0</v>
      </c>
      <c r="Z68" s="35">
        <f t="shared" si="2"/>
        <v>0</v>
      </c>
      <c r="AA68" s="35"/>
    </row>
    <row r="69" spans="2:27" s="36" customFormat="1" x14ac:dyDescent="0.25">
      <c r="B69" s="33" t="s">
        <v>184</v>
      </c>
      <c r="C69" s="34"/>
      <c r="D69" s="35">
        <f>(D59*D24)+(D25*D60)</f>
        <v>0</v>
      </c>
      <c r="E69" s="35">
        <f t="shared" ref="E69:Z69" si="3">(E59*E24)+(E25*E60)</f>
        <v>0</v>
      </c>
      <c r="F69" s="35">
        <f t="shared" si="3"/>
        <v>0</v>
      </c>
      <c r="G69" s="35">
        <f t="shared" si="3"/>
        <v>0</v>
      </c>
      <c r="H69" s="35">
        <f t="shared" si="3"/>
        <v>0</v>
      </c>
      <c r="I69" s="35">
        <f t="shared" si="3"/>
        <v>0</v>
      </c>
      <c r="J69" s="35">
        <f t="shared" si="3"/>
        <v>0</v>
      </c>
      <c r="K69" s="35">
        <f t="shared" si="3"/>
        <v>0</v>
      </c>
      <c r="L69" s="35">
        <f t="shared" si="3"/>
        <v>0</v>
      </c>
      <c r="M69" s="35">
        <f t="shared" si="3"/>
        <v>0</v>
      </c>
      <c r="N69" s="35">
        <f t="shared" si="3"/>
        <v>0</v>
      </c>
      <c r="O69" s="35">
        <f t="shared" si="3"/>
        <v>0</v>
      </c>
      <c r="P69" s="35">
        <f t="shared" si="3"/>
        <v>0</v>
      </c>
      <c r="Q69" s="35">
        <f t="shared" si="3"/>
        <v>0</v>
      </c>
      <c r="R69" s="35">
        <f t="shared" si="3"/>
        <v>0</v>
      </c>
      <c r="S69" s="35">
        <f t="shared" si="3"/>
        <v>0</v>
      </c>
      <c r="T69" s="35">
        <f t="shared" si="3"/>
        <v>0</v>
      </c>
      <c r="U69" s="35">
        <f t="shared" si="3"/>
        <v>0</v>
      </c>
      <c r="V69" s="35">
        <f t="shared" si="3"/>
        <v>0</v>
      </c>
      <c r="W69" s="35">
        <f t="shared" si="3"/>
        <v>0</v>
      </c>
      <c r="X69" s="35">
        <f t="shared" si="3"/>
        <v>0</v>
      </c>
      <c r="Y69" s="35">
        <f t="shared" si="3"/>
        <v>0</v>
      </c>
      <c r="Z69" s="35">
        <f t="shared" si="3"/>
        <v>0</v>
      </c>
      <c r="AA69" s="35"/>
    </row>
    <row r="70" spans="2:27" s="36" customFormat="1" x14ac:dyDescent="0.25">
      <c r="B70" s="34" t="s">
        <v>114</v>
      </c>
      <c r="C70" s="34"/>
      <c r="D70" s="37">
        <f>SUM(D66:D69)</f>
        <v>0</v>
      </c>
      <c r="E70" s="37">
        <f t="shared" ref="E70:Z70" si="4">SUM(E66:E69)</f>
        <v>0</v>
      </c>
      <c r="F70" s="37">
        <f t="shared" si="4"/>
        <v>0</v>
      </c>
      <c r="G70" s="37">
        <f t="shared" si="4"/>
        <v>0</v>
      </c>
      <c r="H70" s="37">
        <f t="shared" si="4"/>
        <v>0</v>
      </c>
      <c r="I70" s="37">
        <f t="shared" si="4"/>
        <v>0</v>
      </c>
      <c r="J70" s="37">
        <f t="shared" si="4"/>
        <v>0</v>
      </c>
      <c r="K70" s="37">
        <f t="shared" si="4"/>
        <v>0</v>
      </c>
      <c r="L70" s="37">
        <f t="shared" si="4"/>
        <v>0</v>
      </c>
      <c r="M70" s="37">
        <f t="shared" si="4"/>
        <v>0</v>
      </c>
      <c r="N70" s="37">
        <f t="shared" si="4"/>
        <v>0</v>
      </c>
      <c r="O70" s="37">
        <f t="shared" si="4"/>
        <v>0</v>
      </c>
      <c r="P70" s="37">
        <f t="shared" si="4"/>
        <v>0</v>
      </c>
      <c r="Q70" s="37">
        <f t="shared" si="4"/>
        <v>0</v>
      </c>
      <c r="R70" s="37">
        <f t="shared" si="4"/>
        <v>0</v>
      </c>
      <c r="S70" s="37">
        <f t="shared" si="4"/>
        <v>0</v>
      </c>
      <c r="T70" s="37">
        <f t="shared" si="4"/>
        <v>0</v>
      </c>
      <c r="U70" s="37">
        <f t="shared" si="4"/>
        <v>0</v>
      </c>
      <c r="V70" s="37">
        <f t="shared" si="4"/>
        <v>0</v>
      </c>
      <c r="W70" s="37">
        <f t="shared" si="4"/>
        <v>0</v>
      </c>
      <c r="X70" s="37">
        <f t="shared" si="4"/>
        <v>0</v>
      </c>
      <c r="Y70" s="37">
        <f t="shared" si="4"/>
        <v>0</v>
      </c>
      <c r="Z70" s="37">
        <f t="shared" si="4"/>
        <v>0</v>
      </c>
      <c r="AA70" s="37"/>
    </row>
    <row r="71" spans="2:27" s="36" customFormat="1" x14ac:dyDescent="0.25">
      <c r="B71" s="33" t="s">
        <v>115</v>
      </c>
      <c r="C71" s="34"/>
      <c r="D71" s="38">
        <f>D45*D32</f>
        <v>0</v>
      </c>
      <c r="E71" s="38">
        <f t="shared" ref="E71:Z71" si="5">E45*E32</f>
        <v>0</v>
      </c>
      <c r="F71" s="38">
        <f t="shared" si="5"/>
        <v>0</v>
      </c>
      <c r="G71" s="38">
        <f t="shared" si="5"/>
        <v>0</v>
      </c>
      <c r="H71" s="38">
        <f t="shared" si="5"/>
        <v>0</v>
      </c>
      <c r="I71" s="38">
        <f t="shared" si="5"/>
        <v>0</v>
      </c>
      <c r="J71" s="38">
        <f t="shared" si="5"/>
        <v>0</v>
      </c>
      <c r="K71" s="38">
        <f t="shared" si="5"/>
        <v>0</v>
      </c>
      <c r="L71" s="38">
        <f t="shared" si="5"/>
        <v>0</v>
      </c>
      <c r="M71" s="38">
        <f t="shared" si="5"/>
        <v>0</v>
      </c>
      <c r="N71" s="38">
        <f t="shared" si="5"/>
        <v>0</v>
      </c>
      <c r="O71" s="38">
        <f t="shared" si="5"/>
        <v>0</v>
      </c>
      <c r="P71" s="38">
        <f t="shared" si="5"/>
        <v>0</v>
      </c>
      <c r="Q71" s="38">
        <f t="shared" si="5"/>
        <v>0</v>
      </c>
      <c r="R71" s="38">
        <f t="shared" si="5"/>
        <v>0</v>
      </c>
      <c r="S71" s="38">
        <f t="shared" si="5"/>
        <v>0</v>
      </c>
      <c r="T71" s="38">
        <f t="shared" si="5"/>
        <v>0</v>
      </c>
      <c r="U71" s="38">
        <f t="shared" si="5"/>
        <v>0</v>
      </c>
      <c r="V71" s="38">
        <f t="shared" si="5"/>
        <v>0</v>
      </c>
      <c r="W71" s="38">
        <f t="shared" si="5"/>
        <v>0</v>
      </c>
      <c r="X71" s="38">
        <f t="shared" si="5"/>
        <v>0</v>
      </c>
      <c r="Y71" s="38">
        <f t="shared" si="5"/>
        <v>0</v>
      </c>
      <c r="Z71" s="38">
        <f t="shared" si="5"/>
        <v>0</v>
      </c>
    </row>
    <row r="72" spans="2:27" s="36" customFormat="1" x14ac:dyDescent="0.25">
      <c r="B72" s="33" t="s">
        <v>116</v>
      </c>
      <c r="C72" s="34"/>
      <c r="D72" s="38">
        <f>D46*D33</f>
        <v>0</v>
      </c>
      <c r="E72" s="38">
        <f t="shared" ref="E72:Z72" si="6">E46*E33</f>
        <v>0</v>
      </c>
      <c r="F72" s="38">
        <f t="shared" si="6"/>
        <v>0</v>
      </c>
      <c r="G72" s="38">
        <f t="shared" si="6"/>
        <v>0</v>
      </c>
      <c r="H72" s="38">
        <f t="shared" si="6"/>
        <v>0</v>
      </c>
      <c r="I72" s="38">
        <f t="shared" si="6"/>
        <v>0</v>
      </c>
      <c r="J72" s="38">
        <f t="shared" si="6"/>
        <v>0</v>
      </c>
      <c r="K72" s="38">
        <f t="shared" si="6"/>
        <v>0</v>
      </c>
      <c r="L72" s="38">
        <f t="shared" si="6"/>
        <v>0</v>
      </c>
      <c r="M72" s="38">
        <f t="shared" si="6"/>
        <v>0</v>
      </c>
      <c r="N72" s="38">
        <f t="shared" si="6"/>
        <v>0</v>
      </c>
      <c r="O72" s="38">
        <f t="shared" si="6"/>
        <v>0</v>
      </c>
      <c r="P72" s="38">
        <f t="shared" si="6"/>
        <v>0</v>
      </c>
      <c r="Q72" s="38">
        <f t="shared" si="6"/>
        <v>0</v>
      </c>
      <c r="R72" s="38">
        <f t="shared" si="6"/>
        <v>0</v>
      </c>
      <c r="S72" s="38">
        <f t="shared" si="6"/>
        <v>0</v>
      </c>
      <c r="T72" s="38">
        <f t="shared" si="6"/>
        <v>0</v>
      </c>
      <c r="U72" s="38">
        <f t="shared" si="6"/>
        <v>0</v>
      </c>
      <c r="V72" s="38">
        <f t="shared" si="6"/>
        <v>0</v>
      </c>
      <c r="W72" s="38">
        <f t="shared" si="6"/>
        <v>0</v>
      </c>
      <c r="X72" s="38">
        <f t="shared" si="6"/>
        <v>0</v>
      </c>
      <c r="Y72" s="38">
        <f t="shared" si="6"/>
        <v>0</v>
      </c>
      <c r="Z72" s="38">
        <f t="shared" si="6"/>
        <v>0</v>
      </c>
    </row>
    <row r="73" spans="2:27" s="36" customFormat="1" x14ac:dyDescent="0.25">
      <c r="B73" s="33" t="s">
        <v>117</v>
      </c>
      <c r="C73" s="34"/>
      <c r="D73" s="38">
        <f>D49*D34</f>
        <v>0</v>
      </c>
      <c r="E73" s="38">
        <f t="shared" ref="E73:Z73" si="7">E49*E34</f>
        <v>0</v>
      </c>
      <c r="F73" s="38">
        <f t="shared" si="7"/>
        <v>0</v>
      </c>
      <c r="G73" s="38">
        <f t="shared" si="7"/>
        <v>0</v>
      </c>
      <c r="H73" s="38">
        <f t="shared" si="7"/>
        <v>0</v>
      </c>
      <c r="I73" s="38">
        <f t="shared" si="7"/>
        <v>0</v>
      </c>
      <c r="J73" s="38">
        <f t="shared" si="7"/>
        <v>0</v>
      </c>
      <c r="K73" s="38">
        <f t="shared" si="7"/>
        <v>0</v>
      </c>
      <c r="L73" s="38">
        <f t="shared" si="7"/>
        <v>0</v>
      </c>
      <c r="M73" s="38">
        <f t="shared" si="7"/>
        <v>0</v>
      </c>
      <c r="N73" s="38">
        <f t="shared" si="7"/>
        <v>0</v>
      </c>
      <c r="O73" s="38">
        <f t="shared" si="7"/>
        <v>0</v>
      </c>
      <c r="P73" s="38">
        <f t="shared" si="7"/>
        <v>0</v>
      </c>
      <c r="Q73" s="38">
        <f t="shared" si="7"/>
        <v>0</v>
      </c>
      <c r="R73" s="38">
        <f t="shared" si="7"/>
        <v>0</v>
      </c>
      <c r="S73" s="38">
        <f t="shared" si="7"/>
        <v>0</v>
      </c>
      <c r="T73" s="38">
        <f t="shared" si="7"/>
        <v>0</v>
      </c>
      <c r="U73" s="38">
        <f t="shared" si="7"/>
        <v>0</v>
      </c>
      <c r="V73" s="38">
        <f t="shared" si="7"/>
        <v>0</v>
      </c>
      <c r="W73" s="38">
        <f t="shared" si="7"/>
        <v>0</v>
      </c>
      <c r="X73" s="38">
        <f t="shared" si="7"/>
        <v>0</v>
      </c>
      <c r="Y73" s="38">
        <f t="shared" si="7"/>
        <v>0</v>
      </c>
      <c r="Z73" s="38">
        <f t="shared" si="7"/>
        <v>0</v>
      </c>
    </row>
    <row r="74" spans="2:27" s="36" customFormat="1" x14ac:dyDescent="0.25">
      <c r="B74" s="33" t="s">
        <v>118</v>
      </c>
      <c r="C74" s="34"/>
      <c r="D74" s="38">
        <f>IF(AND(D20&gt;0,D20&lt;=Inputs!$D$10),(D50*Inputs!$D$30),0)</f>
        <v>0</v>
      </c>
      <c r="E74" s="38">
        <f>IF(AND(E20&gt;0,E20&lt;=Inputs!$D$10),(E50*Inputs!$D$30),0)</f>
        <v>0</v>
      </c>
      <c r="F74" s="38">
        <f>IF(AND(F20&gt;0,F20&lt;=Inputs!$D$10),(F50*Inputs!$D$30),0)</f>
        <v>0</v>
      </c>
      <c r="G74" s="38">
        <f>IF(AND(G20&gt;0,G20&lt;=Inputs!$D$10),(G50*Inputs!$D$30),0)</f>
        <v>0</v>
      </c>
      <c r="H74" s="38">
        <f>IF(AND(H20&gt;0,H20&lt;=Inputs!$D$10),(H50*Inputs!$D$30),0)</f>
        <v>0</v>
      </c>
      <c r="I74" s="38">
        <f>IF(AND(I20&gt;0,I20&lt;=Inputs!$D$10),(I50*Inputs!$D$30),0)</f>
        <v>0</v>
      </c>
      <c r="J74" s="38">
        <f>IF(AND(J20&gt;0,J20&lt;=Inputs!$D$10),(J50*Inputs!$D$30),0)</f>
        <v>0</v>
      </c>
      <c r="K74" s="38">
        <f>IF(AND(K20&gt;0,K20&lt;=Inputs!$D$10),(K50*Inputs!$D$30),0)</f>
        <v>0</v>
      </c>
      <c r="L74" s="38">
        <f>IF(AND(L20&gt;0,L20&lt;=Inputs!$D$10),(L50*Inputs!$D$30),0)</f>
        <v>0</v>
      </c>
      <c r="M74" s="38">
        <f>IF(AND(M20&gt;0,M20&lt;=Inputs!$D$10),(M50*Inputs!$D$30),0)</f>
        <v>0</v>
      </c>
      <c r="N74" s="38">
        <f>IF(AND(N20&gt;0,N20&lt;=Inputs!$D$10),(N50*Inputs!$D$30),0)</f>
        <v>0</v>
      </c>
      <c r="O74" s="38">
        <f>IF(AND(O20&gt;0,O20&lt;=Inputs!$D$10),(O50*Inputs!$D$30),0)</f>
        <v>0</v>
      </c>
      <c r="P74" s="38">
        <f>IF(AND(P20&gt;0,P20&lt;=Inputs!$D$10),(P50*Inputs!$D$30),0)</f>
        <v>0</v>
      </c>
      <c r="Q74" s="38">
        <f>IF(AND(Q20&gt;0,Q20&lt;=Inputs!$D$10),(Q50*Inputs!$D$30),0)</f>
        <v>0</v>
      </c>
      <c r="R74" s="38">
        <f>IF(AND(R20&gt;0,R20&lt;=Inputs!$D$10),(R50*Inputs!$D$30),0)</f>
        <v>0</v>
      </c>
      <c r="S74" s="38">
        <f>IF(AND(S20&gt;0,S20&lt;=Inputs!$D$10),(S50*Inputs!$D$30),0)</f>
        <v>0</v>
      </c>
      <c r="T74" s="38">
        <f>IF(AND(T20&gt;0,T20&lt;=Inputs!$D$10),(T50*Inputs!$D$30),0)</f>
        <v>0</v>
      </c>
      <c r="U74" s="38">
        <f>IF(AND(U20&gt;0,U20&lt;=Inputs!$D$10),(U50*Inputs!$D$30),0)</f>
        <v>0</v>
      </c>
      <c r="V74" s="38">
        <f>IF(AND(V20&gt;0,V20&lt;=Inputs!$D$10),(V50*Inputs!$D$30),0)</f>
        <v>0</v>
      </c>
      <c r="W74" s="38">
        <f>IF(AND(W20&gt;0,W20&lt;=Inputs!$D$10),(W50*Inputs!$D$30),0)</f>
        <v>0</v>
      </c>
      <c r="X74" s="38">
        <f>IF(AND(X20&gt;0,X20&lt;=Inputs!$D$10),(X50*Inputs!$D$30),0)</f>
        <v>0</v>
      </c>
      <c r="Y74" s="38">
        <f>IF(AND(Y20&gt;0,Y20&lt;=Inputs!$D$10),(Y50*Inputs!$D$30),0)</f>
        <v>0</v>
      </c>
      <c r="Z74" s="38">
        <f>IF(AND(Z20&gt;0,Z20&lt;=Inputs!$D$10),(Z50*Inputs!$D$30),0)</f>
        <v>0</v>
      </c>
    </row>
    <row r="75" spans="2:27" s="36" customFormat="1" x14ac:dyDescent="0.25">
      <c r="B75" s="33" t="s">
        <v>119</v>
      </c>
      <c r="C75" s="34"/>
      <c r="D75" s="38">
        <f>IF(AND(D20&gt;0,D20&lt;=Inputs!$D$10),(D61*Inputs!$D$23),0)</f>
        <v>0</v>
      </c>
      <c r="E75" s="38">
        <f>IF(AND(E20&gt;0,E20&lt;=Inputs!$D$10),(E61*Inputs!$D$23),0)</f>
        <v>0</v>
      </c>
      <c r="F75" s="38">
        <f>IF(AND(F20&gt;0,F20&lt;=Inputs!$D$10),(F61*Inputs!$D$23),0)</f>
        <v>0</v>
      </c>
      <c r="G75" s="38">
        <f>IF(AND(G20&gt;0,G20&lt;=Inputs!$D$10),(G61*Inputs!$D$23),0)</f>
        <v>0</v>
      </c>
      <c r="H75" s="38">
        <f>IF(AND(H20&gt;0,H20&lt;=Inputs!$D$10),(H61*Inputs!$D$23),0)</f>
        <v>0</v>
      </c>
      <c r="I75" s="38">
        <f>IF(AND(I20&gt;0,I20&lt;=Inputs!$D$10),(I61*Inputs!$D$23),0)</f>
        <v>0</v>
      </c>
      <c r="J75" s="38">
        <f>IF(AND(J20&gt;0,J20&lt;=Inputs!$D$10),(J61*Inputs!$D$23),0)</f>
        <v>0</v>
      </c>
      <c r="K75" s="38">
        <f>IF(AND(K20&gt;0,K20&lt;=Inputs!$D$10),(K61*Inputs!$D$23),0)</f>
        <v>0</v>
      </c>
      <c r="L75" s="38">
        <f>IF(AND(L20&gt;0,L20&lt;=Inputs!$D$10),(L61*Inputs!$D$23),0)</f>
        <v>0</v>
      </c>
      <c r="M75" s="38">
        <f>IF(AND(M20&gt;0,M20&lt;=Inputs!$D$10),(M61*Inputs!$D$23),0)</f>
        <v>0</v>
      </c>
      <c r="N75" s="38">
        <f>IF(AND(N20&gt;0,N20&lt;=Inputs!$D$10),(N61*Inputs!$D$23),0)</f>
        <v>0</v>
      </c>
      <c r="O75" s="38">
        <f>IF(AND(O20&gt;0,O20&lt;=Inputs!$D$10),(O61*Inputs!$D$23),0)</f>
        <v>0</v>
      </c>
      <c r="P75" s="38">
        <f>IF(AND(P20&gt;0,P20&lt;=Inputs!$D$10),(P61*Inputs!$D$23),0)</f>
        <v>0</v>
      </c>
      <c r="Q75" s="38">
        <f>IF(AND(Q20&gt;0,Q20&lt;=Inputs!$D$10),(Q61*Inputs!$D$23),0)</f>
        <v>0</v>
      </c>
      <c r="R75" s="38">
        <f>IF(AND(R20&gt;0,R20&lt;=Inputs!$D$10),(R61*Inputs!$D$23),0)</f>
        <v>0</v>
      </c>
      <c r="S75" s="38">
        <f>IF(AND(S20&gt;0,S20&lt;=Inputs!$D$10),(S61*Inputs!$D$23),0)</f>
        <v>0</v>
      </c>
      <c r="T75" s="38">
        <f>IF(AND(T20&gt;0,T20&lt;=Inputs!$D$10),(T61*Inputs!$D$23),0)</f>
        <v>0</v>
      </c>
      <c r="U75" s="38">
        <f>IF(AND(U20&gt;0,U20&lt;=Inputs!$D$10),(U61*Inputs!$D$23),0)</f>
        <v>0</v>
      </c>
      <c r="V75" s="38">
        <f>IF(AND(V20&gt;0,V20&lt;=Inputs!$D$10),(V61*Inputs!$D$23),0)</f>
        <v>0</v>
      </c>
      <c r="W75" s="38">
        <f>IF(AND(W20&gt;0,W20&lt;=Inputs!$D$10),(W61*Inputs!$D$23),0)</f>
        <v>0</v>
      </c>
      <c r="X75" s="38">
        <f>IF(AND(X20&gt;0,X20&lt;=Inputs!$D$10),(X61*Inputs!$D$23),0)</f>
        <v>0</v>
      </c>
      <c r="Y75" s="38">
        <f>IF(AND(Y20&gt;0,Y20&lt;=Inputs!$D$10),(Y61*Inputs!$D$23),0)</f>
        <v>0</v>
      </c>
      <c r="Z75" s="38">
        <f>IF(AND(Z20&gt;0,Z20&lt;=Inputs!$D$10),(Z61*Inputs!$D$23),0)</f>
        <v>0</v>
      </c>
    </row>
    <row r="76" spans="2:27" s="36" customFormat="1" x14ac:dyDescent="0.25">
      <c r="B76" s="33" t="s">
        <v>22</v>
      </c>
      <c r="C76" s="34"/>
      <c r="D76" s="38">
        <f>D48*(D35+D37+D39+D41)</f>
        <v>0</v>
      </c>
      <c r="E76" s="38">
        <f t="shared" ref="E76:Z76" si="8">E48*(E35+E37+E39+E41)</f>
        <v>0</v>
      </c>
      <c r="F76" s="38">
        <f t="shared" si="8"/>
        <v>0</v>
      </c>
      <c r="G76" s="38">
        <f t="shared" si="8"/>
        <v>0</v>
      </c>
      <c r="H76" s="38">
        <f t="shared" si="8"/>
        <v>0</v>
      </c>
      <c r="I76" s="38">
        <f t="shared" si="8"/>
        <v>0</v>
      </c>
      <c r="J76" s="38">
        <f t="shared" si="8"/>
        <v>0</v>
      </c>
      <c r="K76" s="38">
        <f t="shared" si="8"/>
        <v>0</v>
      </c>
      <c r="L76" s="38">
        <f t="shared" si="8"/>
        <v>0</v>
      </c>
      <c r="M76" s="38">
        <f t="shared" si="8"/>
        <v>0</v>
      </c>
      <c r="N76" s="38">
        <f t="shared" si="8"/>
        <v>0</v>
      </c>
      <c r="O76" s="38">
        <f t="shared" si="8"/>
        <v>0</v>
      </c>
      <c r="P76" s="38">
        <f t="shared" si="8"/>
        <v>0</v>
      </c>
      <c r="Q76" s="38">
        <f t="shared" si="8"/>
        <v>0</v>
      </c>
      <c r="R76" s="38">
        <f t="shared" si="8"/>
        <v>0</v>
      </c>
      <c r="S76" s="38">
        <f t="shared" si="8"/>
        <v>0</v>
      </c>
      <c r="T76" s="38">
        <f t="shared" si="8"/>
        <v>0</v>
      </c>
      <c r="U76" s="38">
        <f t="shared" si="8"/>
        <v>0</v>
      </c>
      <c r="V76" s="38">
        <f t="shared" si="8"/>
        <v>0</v>
      </c>
      <c r="W76" s="38">
        <f t="shared" si="8"/>
        <v>0</v>
      </c>
      <c r="X76" s="38">
        <f t="shared" si="8"/>
        <v>0</v>
      </c>
      <c r="Y76" s="38">
        <f t="shared" si="8"/>
        <v>0</v>
      </c>
      <c r="Z76" s="38">
        <f t="shared" si="8"/>
        <v>0</v>
      </c>
    </row>
    <row r="77" spans="2:27" s="36" customFormat="1" x14ac:dyDescent="0.25">
      <c r="B77" s="33" t="s">
        <v>183</v>
      </c>
      <c r="C77" s="34"/>
      <c r="D77" s="38">
        <f>D51*D26</f>
        <v>0</v>
      </c>
      <c r="E77" s="38">
        <f t="shared" ref="E77:Z77" si="9">E51*E26</f>
        <v>0</v>
      </c>
      <c r="F77" s="38">
        <f t="shared" si="9"/>
        <v>0</v>
      </c>
      <c r="G77" s="38">
        <f t="shared" si="9"/>
        <v>0</v>
      </c>
      <c r="H77" s="38">
        <f t="shared" si="9"/>
        <v>0</v>
      </c>
      <c r="I77" s="38">
        <f t="shared" si="9"/>
        <v>0</v>
      </c>
      <c r="J77" s="38">
        <f t="shared" si="9"/>
        <v>0</v>
      </c>
      <c r="K77" s="38">
        <f t="shared" si="9"/>
        <v>0</v>
      </c>
      <c r="L77" s="38">
        <f t="shared" si="9"/>
        <v>0</v>
      </c>
      <c r="M77" s="38">
        <f t="shared" si="9"/>
        <v>0</v>
      </c>
      <c r="N77" s="38">
        <f t="shared" si="9"/>
        <v>0</v>
      </c>
      <c r="O77" s="38">
        <f t="shared" si="9"/>
        <v>0</v>
      </c>
      <c r="P77" s="38">
        <f t="shared" si="9"/>
        <v>0</v>
      </c>
      <c r="Q77" s="38">
        <f t="shared" si="9"/>
        <v>0</v>
      </c>
      <c r="R77" s="38">
        <f t="shared" si="9"/>
        <v>0</v>
      </c>
      <c r="S77" s="38">
        <f t="shared" si="9"/>
        <v>0</v>
      </c>
      <c r="T77" s="38">
        <f t="shared" si="9"/>
        <v>0</v>
      </c>
      <c r="U77" s="38">
        <f t="shared" si="9"/>
        <v>0</v>
      </c>
      <c r="V77" s="38">
        <f t="shared" si="9"/>
        <v>0</v>
      </c>
      <c r="W77" s="38">
        <f t="shared" si="9"/>
        <v>0</v>
      </c>
      <c r="X77" s="38">
        <f t="shared" si="9"/>
        <v>0</v>
      </c>
      <c r="Y77" s="38">
        <f t="shared" si="9"/>
        <v>0</v>
      </c>
      <c r="Z77" s="38">
        <f t="shared" si="9"/>
        <v>0</v>
      </c>
    </row>
    <row r="78" spans="2:27" s="36" customFormat="1" x14ac:dyDescent="0.25">
      <c r="B78" s="33" t="s">
        <v>144</v>
      </c>
      <c r="C78" s="34"/>
      <c r="D78" s="38">
        <f>D52*D27</f>
        <v>0</v>
      </c>
      <c r="E78" s="38">
        <f t="shared" ref="E78:Z78" si="10">E52*E27</f>
        <v>0</v>
      </c>
      <c r="F78" s="38">
        <f t="shared" si="10"/>
        <v>0</v>
      </c>
      <c r="G78" s="38">
        <f t="shared" si="10"/>
        <v>0</v>
      </c>
      <c r="H78" s="38">
        <f t="shared" si="10"/>
        <v>0</v>
      </c>
      <c r="I78" s="38">
        <f t="shared" si="10"/>
        <v>0</v>
      </c>
      <c r="J78" s="38">
        <f t="shared" si="10"/>
        <v>0</v>
      </c>
      <c r="K78" s="38">
        <f t="shared" si="10"/>
        <v>0</v>
      </c>
      <c r="L78" s="38">
        <f t="shared" si="10"/>
        <v>0</v>
      </c>
      <c r="M78" s="38">
        <f t="shared" si="10"/>
        <v>0</v>
      </c>
      <c r="N78" s="38">
        <f t="shared" si="10"/>
        <v>0</v>
      </c>
      <c r="O78" s="38">
        <f t="shared" si="10"/>
        <v>0</v>
      </c>
      <c r="P78" s="38">
        <f t="shared" si="10"/>
        <v>0</v>
      </c>
      <c r="Q78" s="38">
        <f t="shared" si="10"/>
        <v>0</v>
      </c>
      <c r="R78" s="38">
        <f t="shared" si="10"/>
        <v>0</v>
      </c>
      <c r="S78" s="38">
        <f t="shared" si="10"/>
        <v>0</v>
      </c>
      <c r="T78" s="38">
        <f t="shared" si="10"/>
        <v>0</v>
      </c>
      <c r="U78" s="38">
        <f t="shared" si="10"/>
        <v>0</v>
      </c>
      <c r="V78" s="38">
        <f t="shared" si="10"/>
        <v>0</v>
      </c>
      <c r="W78" s="38">
        <f t="shared" si="10"/>
        <v>0</v>
      </c>
      <c r="X78" s="38">
        <f t="shared" si="10"/>
        <v>0</v>
      </c>
      <c r="Y78" s="38">
        <f t="shared" si="10"/>
        <v>0</v>
      </c>
      <c r="Z78" s="38">
        <f t="shared" si="10"/>
        <v>0</v>
      </c>
    </row>
    <row r="79" spans="2:27" x14ac:dyDescent="0.25">
      <c r="B79" s="33" t="s">
        <v>120</v>
      </c>
      <c r="C79" s="32"/>
      <c r="D79" s="39">
        <f>D54*D22</f>
        <v>0</v>
      </c>
      <c r="E79" s="39">
        <f t="shared" ref="E79:Z79" si="11">E54*E22</f>
        <v>0</v>
      </c>
      <c r="F79" s="39">
        <f t="shared" si="11"/>
        <v>0</v>
      </c>
      <c r="G79" s="39">
        <f t="shared" si="11"/>
        <v>0</v>
      </c>
      <c r="H79" s="39">
        <f t="shared" si="11"/>
        <v>0</v>
      </c>
      <c r="I79" s="39">
        <f t="shared" si="11"/>
        <v>0</v>
      </c>
      <c r="J79" s="39">
        <f t="shared" si="11"/>
        <v>0</v>
      </c>
      <c r="K79" s="39">
        <f t="shared" si="11"/>
        <v>0</v>
      </c>
      <c r="L79" s="39">
        <f t="shared" si="11"/>
        <v>0</v>
      </c>
      <c r="M79" s="39">
        <f t="shared" si="11"/>
        <v>0</v>
      </c>
      <c r="N79" s="39">
        <f t="shared" si="11"/>
        <v>0</v>
      </c>
      <c r="O79" s="39">
        <f t="shared" si="11"/>
        <v>0</v>
      </c>
      <c r="P79" s="39">
        <f t="shared" si="11"/>
        <v>0</v>
      </c>
      <c r="Q79" s="39">
        <f t="shared" si="11"/>
        <v>0</v>
      </c>
      <c r="R79" s="39">
        <f t="shared" si="11"/>
        <v>0</v>
      </c>
      <c r="S79" s="39">
        <f t="shared" si="11"/>
        <v>0</v>
      </c>
      <c r="T79" s="39">
        <f t="shared" si="11"/>
        <v>0</v>
      </c>
      <c r="U79" s="39">
        <f t="shared" si="11"/>
        <v>0</v>
      </c>
      <c r="V79" s="39">
        <f t="shared" si="11"/>
        <v>0</v>
      </c>
      <c r="W79" s="39">
        <f t="shared" si="11"/>
        <v>0</v>
      </c>
      <c r="X79" s="39">
        <f t="shared" si="11"/>
        <v>0</v>
      </c>
      <c r="Y79" s="39">
        <f t="shared" si="11"/>
        <v>0</v>
      </c>
      <c r="Z79" s="39">
        <f t="shared" si="11"/>
        <v>0</v>
      </c>
    </row>
    <row r="80" spans="2:27" x14ac:dyDescent="0.25">
      <c r="B80" s="33" t="s">
        <v>111</v>
      </c>
      <c r="C80" s="32"/>
      <c r="D80" s="39">
        <f>D62</f>
        <v>0</v>
      </c>
      <c r="E80" s="39">
        <f t="shared" ref="E80:Z80" si="12">E62</f>
        <v>0</v>
      </c>
      <c r="F80" s="39">
        <f t="shared" si="12"/>
        <v>0</v>
      </c>
      <c r="G80" s="39">
        <f t="shared" si="12"/>
        <v>0</v>
      </c>
      <c r="H80" s="39">
        <f t="shared" si="12"/>
        <v>0</v>
      </c>
      <c r="I80" s="39">
        <f t="shared" si="12"/>
        <v>0</v>
      </c>
      <c r="J80" s="39">
        <f t="shared" si="12"/>
        <v>0</v>
      </c>
      <c r="K80" s="39">
        <f t="shared" si="12"/>
        <v>0</v>
      </c>
      <c r="L80" s="39">
        <f t="shared" si="12"/>
        <v>0</v>
      </c>
      <c r="M80" s="39">
        <f t="shared" si="12"/>
        <v>0</v>
      </c>
      <c r="N80" s="39">
        <f t="shared" si="12"/>
        <v>0</v>
      </c>
      <c r="O80" s="39">
        <f t="shared" si="12"/>
        <v>0</v>
      </c>
      <c r="P80" s="39">
        <f t="shared" si="12"/>
        <v>0</v>
      </c>
      <c r="Q80" s="39">
        <f t="shared" si="12"/>
        <v>0</v>
      </c>
      <c r="R80" s="39">
        <f t="shared" si="12"/>
        <v>0</v>
      </c>
      <c r="S80" s="39">
        <f t="shared" si="12"/>
        <v>0</v>
      </c>
      <c r="T80" s="39">
        <f t="shared" si="12"/>
        <v>0</v>
      </c>
      <c r="U80" s="39">
        <f t="shared" si="12"/>
        <v>0</v>
      </c>
      <c r="V80" s="39">
        <f t="shared" si="12"/>
        <v>0</v>
      </c>
      <c r="W80" s="39">
        <f t="shared" si="12"/>
        <v>0</v>
      </c>
      <c r="X80" s="39">
        <f t="shared" si="12"/>
        <v>0</v>
      </c>
      <c r="Y80" s="39">
        <f t="shared" si="12"/>
        <v>0</v>
      </c>
      <c r="Z80" s="39">
        <f t="shared" si="12"/>
        <v>0</v>
      </c>
    </row>
    <row r="81" spans="1:26" x14ac:dyDescent="0.25">
      <c r="B81" s="40" t="s">
        <v>112</v>
      </c>
      <c r="C81" s="41"/>
      <c r="D81" s="42">
        <f>D63</f>
        <v>0</v>
      </c>
      <c r="E81" s="42">
        <f t="shared" ref="E81:Z81" si="13">E63</f>
        <v>0</v>
      </c>
      <c r="F81" s="42">
        <f t="shared" si="13"/>
        <v>0</v>
      </c>
      <c r="G81" s="42">
        <f t="shared" si="13"/>
        <v>0</v>
      </c>
      <c r="H81" s="42">
        <f t="shared" si="13"/>
        <v>0</v>
      </c>
      <c r="I81" s="42">
        <f t="shared" si="13"/>
        <v>0</v>
      </c>
      <c r="J81" s="42">
        <f t="shared" si="13"/>
        <v>0</v>
      </c>
      <c r="K81" s="42">
        <f t="shared" si="13"/>
        <v>0</v>
      </c>
      <c r="L81" s="42">
        <f t="shared" si="13"/>
        <v>0</v>
      </c>
      <c r="M81" s="42">
        <f t="shared" si="13"/>
        <v>0</v>
      </c>
      <c r="N81" s="42">
        <f t="shared" si="13"/>
        <v>0</v>
      </c>
      <c r="O81" s="42">
        <f t="shared" si="13"/>
        <v>0</v>
      </c>
      <c r="P81" s="42">
        <f t="shared" si="13"/>
        <v>0</v>
      </c>
      <c r="Q81" s="42">
        <f t="shared" si="13"/>
        <v>0</v>
      </c>
      <c r="R81" s="42">
        <f t="shared" si="13"/>
        <v>0</v>
      </c>
      <c r="S81" s="42">
        <f t="shared" si="13"/>
        <v>0</v>
      </c>
      <c r="T81" s="42">
        <f t="shared" si="13"/>
        <v>0</v>
      </c>
      <c r="U81" s="42">
        <f t="shared" si="13"/>
        <v>0</v>
      </c>
      <c r="V81" s="42">
        <f t="shared" si="13"/>
        <v>0</v>
      </c>
      <c r="W81" s="42">
        <f t="shared" si="13"/>
        <v>0</v>
      </c>
      <c r="X81" s="42">
        <f t="shared" si="13"/>
        <v>0</v>
      </c>
      <c r="Y81" s="42">
        <f t="shared" si="13"/>
        <v>0</v>
      </c>
      <c r="Z81" s="42">
        <f t="shared" si="13"/>
        <v>0</v>
      </c>
    </row>
    <row r="82" spans="1:26" x14ac:dyDescent="0.25">
      <c r="B82" s="40" t="s">
        <v>76</v>
      </c>
      <c r="C82" s="41"/>
      <c r="D82" s="42">
        <f>D66*Inputs!$D$53</f>
        <v>0</v>
      </c>
      <c r="E82" s="42">
        <f>E66*Inputs!$D$53</f>
        <v>0</v>
      </c>
      <c r="F82" s="42">
        <f>F66*Inputs!$D$53</f>
        <v>0</v>
      </c>
      <c r="G82" s="42">
        <f>G66*Inputs!$D$53</f>
        <v>0</v>
      </c>
      <c r="H82" s="42">
        <f>H66*Inputs!$D$53</f>
        <v>0</v>
      </c>
      <c r="I82" s="42">
        <f>I66*Inputs!$D$53</f>
        <v>0</v>
      </c>
      <c r="J82" s="42">
        <f>J66*Inputs!$D$53</f>
        <v>0</v>
      </c>
      <c r="K82" s="42">
        <f>K66*Inputs!$D$53</f>
        <v>0</v>
      </c>
      <c r="L82" s="42">
        <f>L66*Inputs!$D$53</f>
        <v>0</v>
      </c>
      <c r="M82" s="42">
        <f>M66*Inputs!$D$53</f>
        <v>0</v>
      </c>
      <c r="N82" s="42">
        <f>N66*Inputs!$D$53</f>
        <v>0</v>
      </c>
      <c r="O82" s="42">
        <f>O66*Inputs!$D$53</f>
        <v>0</v>
      </c>
      <c r="P82" s="42">
        <f>P66*Inputs!$D$53</f>
        <v>0</v>
      </c>
      <c r="Q82" s="42">
        <f>Q66*Inputs!$D$53</f>
        <v>0</v>
      </c>
      <c r="R82" s="42">
        <f>R66*Inputs!$D$53</f>
        <v>0</v>
      </c>
      <c r="S82" s="42">
        <f>S66*Inputs!$D$53</f>
        <v>0</v>
      </c>
      <c r="T82" s="42">
        <f>T66*Inputs!$D$53</f>
        <v>0</v>
      </c>
      <c r="U82" s="42">
        <f>U66*Inputs!$D$53</f>
        <v>0</v>
      </c>
      <c r="V82" s="42">
        <f>V66*Inputs!$D$53</f>
        <v>0</v>
      </c>
      <c r="W82" s="42">
        <f>W66*Inputs!$D$53</f>
        <v>0</v>
      </c>
      <c r="X82" s="42">
        <f>X66*Inputs!$D$53</f>
        <v>0</v>
      </c>
      <c r="Y82" s="42">
        <f>Y66*Inputs!$D$53</f>
        <v>0</v>
      </c>
      <c r="Z82" s="42">
        <f>Z66*Inputs!$D$53</f>
        <v>0</v>
      </c>
    </row>
    <row r="83" spans="1:26" x14ac:dyDescent="0.25">
      <c r="B83" s="40" t="s">
        <v>189</v>
      </c>
      <c r="C83" s="41"/>
      <c r="D83" s="42">
        <f>IF(AND(D20&gt;0,D20&lt;=Inputs!$D$10),Inputs!$D$56*((1+Inputs!$D$73)^Calculations!D20),0)</f>
        <v>0</v>
      </c>
      <c r="E83" s="42">
        <f>IF(AND(E20&gt;0,E20&lt;=Inputs!$D$10),Inputs!$D$56*((1+Inputs!$D$73)^Calculations!E20),0)</f>
        <v>0</v>
      </c>
      <c r="F83" s="42">
        <f>IF(AND(F20&gt;0,F20&lt;=Inputs!$D$10),Inputs!$D$56*((1+Inputs!$D$73)^Calculations!F20),0)</f>
        <v>0</v>
      </c>
      <c r="G83" s="42">
        <f>IF(AND(G20&gt;0,G20&lt;=Inputs!$D$10),Inputs!$D$56*((1+Inputs!$D$73)^Calculations!G20),0)</f>
        <v>0</v>
      </c>
      <c r="H83" s="42">
        <f>IF(AND(H20&gt;0,H20&lt;=Inputs!$D$10),Inputs!$D$56*((1+Inputs!$D$73)^Calculations!H20),0)</f>
        <v>0</v>
      </c>
      <c r="I83" s="42">
        <f>IF(AND(I20&gt;0,I20&lt;=Inputs!$D$10),Inputs!$D$56*((1+Inputs!$D$73)^Calculations!I20),0)</f>
        <v>0</v>
      </c>
      <c r="J83" s="42">
        <f>IF(AND(J20&gt;0,J20&lt;=Inputs!$D$10),Inputs!$D$56*((1+Inputs!$D$73)^Calculations!J20),0)</f>
        <v>0</v>
      </c>
      <c r="K83" s="42">
        <f>IF(AND(K20&gt;0,K20&lt;=Inputs!$D$10),Inputs!$D$56*((1+Inputs!$D$73)^Calculations!K20),0)</f>
        <v>0</v>
      </c>
      <c r="L83" s="42">
        <f>IF(AND(L20&gt;0,L20&lt;=Inputs!$D$10),Inputs!$D$56*((1+Inputs!$D$73)^Calculations!L20),0)</f>
        <v>0</v>
      </c>
      <c r="M83" s="42">
        <f>IF(AND(M20&gt;0,M20&lt;=Inputs!$D$10),Inputs!$D$56*((1+Inputs!$D$73)^Calculations!M20),0)</f>
        <v>0</v>
      </c>
      <c r="N83" s="42">
        <f>IF(AND(N20&gt;0,N20&lt;=Inputs!$D$10),Inputs!$D$56*((1+Inputs!$D$73)^Calculations!N20),0)</f>
        <v>0</v>
      </c>
      <c r="O83" s="42">
        <f>IF(AND(O20&gt;0,O20&lt;=Inputs!$D$10),Inputs!$D$56*((1+Inputs!$D$73)^Calculations!O20),0)</f>
        <v>0</v>
      </c>
      <c r="P83" s="42">
        <f>IF(AND(P20&gt;0,P20&lt;=Inputs!$D$10),Inputs!$D$56*((1+Inputs!$D$73)^Calculations!P20),0)</f>
        <v>0</v>
      </c>
      <c r="Q83" s="42">
        <f>IF(AND(Q20&gt;0,Q20&lt;=Inputs!$D$10),Inputs!$D$56*((1+Inputs!$D$73)^Calculations!Q20),0)</f>
        <v>0</v>
      </c>
      <c r="R83" s="42">
        <f>IF(AND(R20&gt;0,R20&lt;=Inputs!$D$10),Inputs!$D$56*((1+Inputs!$D$73)^Calculations!R20),0)</f>
        <v>0</v>
      </c>
      <c r="S83" s="42">
        <f>IF(AND(S20&gt;0,S20&lt;=Inputs!$D$10),Inputs!$D$56*((1+Inputs!$D$73)^Calculations!S20),0)</f>
        <v>0</v>
      </c>
      <c r="T83" s="42">
        <f>IF(AND(T20&gt;0,T20&lt;=Inputs!$D$10),Inputs!$D$56*((1+Inputs!$D$73)^Calculations!T20),0)</f>
        <v>0</v>
      </c>
      <c r="U83" s="42">
        <f>IF(AND(U20&gt;0,U20&lt;=Inputs!$D$10),Inputs!$D$56*((1+Inputs!$D$73)^Calculations!U20),0)</f>
        <v>0</v>
      </c>
      <c r="V83" s="42">
        <f>IF(AND(V20&gt;0,V20&lt;=Inputs!$D$10),Inputs!$D$56*((1+Inputs!$D$73)^Calculations!V20),0)</f>
        <v>0</v>
      </c>
      <c r="W83" s="42">
        <f>IF(AND(W20&gt;0,W20&lt;=Inputs!$D$10),Inputs!$D$56*((1+Inputs!$D$73)^Calculations!W20),0)</f>
        <v>0</v>
      </c>
      <c r="X83" s="42">
        <f>IF(AND(X20&gt;0,X20&lt;=Inputs!$D$10),Inputs!$D$56*((1+Inputs!$D$73)^Calculations!X20),0)</f>
        <v>0</v>
      </c>
      <c r="Y83" s="42">
        <f>IF(AND(Y20&gt;0,Y20&lt;=Inputs!$D$10),Inputs!$D$56*((1+Inputs!$D$73)^Calculations!Y20),0)</f>
        <v>0</v>
      </c>
      <c r="Z83" s="42">
        <f>IF(AND(Z20&gt;0,Z20&lt;=Inputs!$D$10),Inputs!$D$56*((1+Inputs!$D$73)^Calculations!Z20),0)</f>
        <v>0</v>
      </c>
    </row>
    <row r="84" spans="1:26" x14ac:dyDescent="0.25">
      <c r="B84" s="40" t="s">
        <v>190</v>
      </c>
      <c r="C84" s="41"/>
      <c r="D84" s="42">
        <f>D66*Inputs!$D$57</f>
        <v>0</v>
      </c>
      <c r="E84" s="42">
        <f>E66*Inputs!$D$57</f>
        <v>0</v>
      </c>
      <c r="F84" s="42">
        <f>F66*Inputs!$D$57</f>
        <v>0</v>
      </c>
      <c r="G84" s="42">
        <f>G66*Inputs!$D$57</f>
        <v>0</v>
      </c>
      <c r="H84" s="42">
        <f>H66*Inputs!$D$57</f>
        <v>0</v>
      </c>
      <c r="I84" s="42">
        <f>I66*Inputs!$D$57</f>
        <v>0</v>
      </c>
      <c r="J84" s="42">
        <f>J66*Inputs!$D$57</f>
        <v>0</v>
      </c>
      <c r="K84" s="42">
        <f>K66*Inputs!$D$57</f>
        <v>0</v>
      </c>
      <c r="L84" s="42">
        <f>L66*Inputs!$D$57</f>
        <v>0</v>
      </c>
      <c r="M84" s="42">
        <f>M66*Inputs!$D$57</f>
        <v>0</v>
      </c>
      <c r="N84" s="42">
        <f>N66*Inputs!$D$57</f>
        <v>0</v>
      </c>
      <c r="O84" s="42">
        <f>O66*Inputs!$D$57</f>
        <v>0</v>
      </c>
      <c r="P84" s="42">
        <f>P66*Inputs!$D$57</f>
        <v>0</v>
      </c>
      <c r="Q84" s="42">
        <f>Q66*Inputs!$D$57</f>
        <v>0</v>
      </c>
      <c r="R84" s="42">
        <f>R66*Inputs!$D$57</f>
        <v>0</v>
      </c>
      <c r="S84" s="42">
        <f>S66*Inputs!$D$57</f>
        <v>0</v>
      </c>
      <c r="T84" s="42">
        <f>T66*Inputs!$D$57</f>
        <v>0</v>
      </c>
      <c r="U84" s="42">
        <f>U66*Inputs!$D$57</f>
        <v>0</v>
      </c>
      <c r="V84" s="42">
        <f>V66*Inputs!$D$57</f>
        <v>0</v>
      </c>
      <c r="W84" s="42">
        <f>W66*Inputs!$D$57</f>
        <v>0</v>
      </c>
      <c r="X84" s="42">
        <f>X66*Inputs!$D$57</f>
        <v>0</v>
      </c>
      <c r="Y84" s="42">
        <f>Y66*Inputs!$D$57</f>
        <v>0</v>
      </c>
      <c r="Z84" s="42">
        <f>Z66*Inputs!$D$57</f>
        <v>0</v>
      </c>
    </row>
    <row r="85" spans="1:26" s="63" customFormat="1" x14ac:dyDescent="0.25">
      <c r="B85" s="69" t="s">
        <v>121</v>
      </c>
      <c r="C85" s="70"/>
      <c r="D85" s="71">
        <f>SUM(D71:D84)</f>
        <v>0</v>
      </c>
      <c r="E85" s="71">
        <f t="shared" ref="E85:Z85" si="14">SUM(E71:E84)</f>
        <v>0</v>
      </c>
      <c r="F85" s="71">
        <f t="shared" si="14"/>
        <v>0</v>
      </c>
      <c r="G85" s="71">
        <f t="shared" si="14"/>
        <v>0</v>
      </c>
      <c r="H85" s="71">
        <f t="shared" si="14"/>
        <v>0</v>
      </c>
      <c r="I85" s="71">
        <f t="shared" si="14"/>
        <v>0</v>
      </c>
      <c r="J85" s="71">
        <f t="shared" si="14"/>
        <v>0</v>
      </c>
      <c r="K85" s="71">
        <f t="shared" si="14"/>
        <v>0</v>
      </c>
      <c r="L85" s="71">
        <f t="shared" si="14"/>
        <v>0</v>
      </c>
      <c r="M85" s="71">
        <f t="shared" si="14"/>
        <v>0</v>
      </c>
      <c r="N85" s="71">
        <f t="shared" si="14"/>
        <v>0</v>
      </c>
      <c r="O85" s="71">
        <f t="shared" si="14"/>
        <v>0</v>
      </c>
      <c r="P85" s="71">
        <f t="shared" si="14"/>
        <v>0</v>
      </c>
      <c r="Q85" s="71">
        <f t="shared" si="14"/>
        <v>0</v>
      </c>
      <c r="R85" s="71">
        <f t="shared" si="14"/>
        <v>0</v>
      </c>
      <c r="S85" s="71">
        <f t="shared" si="14"/>
        <v>0</v>
      </c>
      <c r="T85" s="71">
        <f t="shared" si="14"/>
        <v>0</v>
      </c>
      <c r="U85" s="71">
        <f t="shared" si="14"/>
        <v>0</v>
      </c>
      <c r="V85" s="71">
        <f t="shared" si="14"/>
        <v>0</v>
      </c>
      <c r="W85" s="71">
        <f t="shared" si="14"/>
        <v>0</v>
      </c>
      <c r="X85" s="71">
        <f t="shared" si="14"/>
        <v>0</v>
      </c>
      <c r="Y85" s="71">
        <f t="shared" si="14"/>
        <v>0</v>
      </c>
      <c r="Z85" s="71">
        <f t="shared" si="14"/>
        <v>0</v>
      </c>
    </row>
    <row r="86" spans="1:26" x14ac:dyDescent="0.25">
      <c r="B86" s="44" t="s">
        <v>21</v>
      </c>
      <c r="C86" s="45"/>
      <c r="D86" s="46">
        <f t="shared" ref="D86:Z86" si="15">IF(ISERROR(D85/(D36+D38+D40+D42)),0,(D85/(D36+D38+D40+D42)))</f>
        <v>0</v>
      </c>
      <c r="E86" s="46">
        <f t="shared" si="15"/>
        <v>0</v>
      </c>
      <c r="F86" s="46">
        <f t="shared" si="15"/>
        <v>0</v>
      </c>
      <c r="G86" s="46">
        <f t="shared" si="15"/>
        <v>0</v>
      </c>
      <c r="H86" s="46">
        <f t="shared" si="15"/>
        <v>0</v>
      </c>
      <c r="I86" s="46">
        <f t="shared" si="15"/>
        <v>0</v>
      </c>
      <c r="J86" s="46">
        <f t="shared" si="15"/>
        <v>0</v>
      </c>
      <c r="K86" s="46">
        <f t="shared" si="15"/>
        <v>0</v>
      </c>
      <c r="L86" s="46">
        <f t="shared" si="15"/>
        <v>0</v>
      </c>
      <c r="M86" s="46">
        <f t="shared" si="15"/>
        <v>0</v>
      </c>
      <c r="N86" s="46">
        <f t="shared" si="15"/>
        <v>0</v>
      </c>
      <c r="O86" s="46">
        <f t="shared" si="15"/>
        <v>0</v>
      </c>
      <c r="P86" s="46">
        <f t="shared" si="15"/>
        <v>0</v>
      </c>
      <c r="Q86" s="46">
        <f t="shared" si="15"/>
        <v>0</v>
      </c>
      <c r="R86" s="46">
        <f t="shared" si="15"/>
        <v>0</v>
      </c>
      <c r="S86" s="46">
        <f t="shared" si="15"/>
        <v>0</v>
      </c>
      <c r="T86" s="46">
        <f t="shared" si="15"/>
        <v>0</v>
      </c>
      <c r="U86" s="46">
        <f t="shared" si="15"/>
        <v>0</v>
      </c>
      <c r="V86" s="46">
        <f t="shared" si="15"/>
        <v>0</v>
      </c>
      <c r="W86" s="46">
        <f t="shared" si="15"/>
        <v>0</v>
      </c>
      <c r="X86" s="46">
        <f t="shared" si="15"/>
        <v>0</v>
      </c>
      <c r="Y86" s="46">
        <f t="shared" si="15"/>
        <v>0</v>
      </c>
      <c r="Z86" s="46">
        <f t="shared" si="15"/>
        <v>0</v>
      </c>
    </row>
    <row r="87" spans="1:26" x14ac:dyDescent="0.25">
      <c r="B87" s="33" t="s">
        <v>122</v>
      </c>
      <c r="C87" s="32"/>
      <c r="D87" s="39">
        <f>-D99</f>
        <v>0</v>
      </c>
      <c r="E87" s="39">
        <f t="shared" ref="E87:Z87" si="16">-E99</f>
        <v>0</v>
      </c>
      <c r="F87" s="39">
        <f t="shared" si="16"/>
        <v>0</v>
      </c>
      <c r="G87" s="39">
        <f t="shared" si="16"/>
        <v>0</v>
      </c>
      <c r="H87" s="39">
        <f t="shared" si="16"/>
        <v>0</v>
      </c>
      <c r="I87" s="39">
        <f t="shared" si="16"/>
        <v>0</v>
      </c>
      <c r="J87" s="39">
        <f t="shared" si="16"/>
        <v>0</v>
      </c>
      <c r="K87" s="39">
        <f t="shared" si="16"/>
        <v>0</v>
      </c>
      <c r="L87" s="39">
        <f t="shared" si="16"/>
        <v>0</v>
      </c>
      <c r="M87" s="39">
        <f t="shared" si="16"/>
        <v>0</v>
      </c>
      <c r="N87" s="39">
        <f t="shared" si="16"/>
        <v>0</v>
      </c>
      <c r="O87" s="39">
        <f t="shared" si="16"/>
        <v>0</v>
      </c>
      <c r="P87" s="39">
        <f t="shared" si="16"/>
        <v>0</v>
      </c>
      <c r="Q87" s="39">
        <f t="shared" si="16"/>
        <v>0</v>
      </c>
      <c r="R87" s="39">
        <f t="shared" si="16"/>
        <v>0</v>
      </c>
      <c r="S87" s="39">
        <f t="shared" si="16"/>
        <v>0</v>
      </c>
      <c r="T87" s="39">
        <f t="shared" si="16"/>
        <v>0</v>
      </c>
      <c r="U87" s="39">
        <f t="shared" si="16"/>
        <v>0</v>
      </c>
      <c r="V87" s="39">
        <f t="shared" si="16"/>
        <v>0</v>
      </c>
      <c r="W87" s="39">
        <f t="shared" si="16"/>
        <v>0</v>
      </c>
      <c r="X87" s="39">
        <f t="shared" si="16"/>
        <v>0</v>
      </c>
      <c r="Y87" s="39">
        <f t="shared" si="16"/>
        <v>0</v>
      </c>
      <c r="Z87" s="39">
        <f t="shared" si="16"/>
        <v>0</v>
      </c>
    </row>
    <row r="88" spans="1:26" s="43" customFormat="1" ht="16.5" thickBot="1" x14ac:dyDescent="0.3">
      <c r="B88" s="47" t="s">
        <v>123</v>
      </c>
      <c r="C88" s="48"/>
      <c r="D88" s="49">
        <f t="shared" ref="D88:Z88" si="17">D85+D87</f>
        <v>0</v>
      </c>
      <c r="E88" s="49">
        <f t="shared" si="17"/>
        <v>0</v>
      </c>
      <c r="F88" s="49">
        <f t="shared" si="17"/>
        <v>0</v>
      </c>
      <c r="G88" s="49">
        <f t="shared" si="17"/>
        <v>0</v>
      </c>
      <c r="H88" s="49">
        <f t="shared" si="17"/>
        <v>0</v>
      </c>
      <c r="I88" s="49">
        <f t="shared" si="17"/>
        <v>0</v>
      </c>
      <c r="J88" s="49">
        <f t="shared" si="17"/>
        <v>0</v>
      </c>
      <c r="K88" s="49">
        <f t="shared" si="17"/>
        <v>0</v>
      </c>
      <c r="L88" s="49">
        <f t="shared" si="17"/>
        <v>0</v>
      </c>
      <c r="M88" s="49">
        <f t="shared" si="17"/>
        <v>0</v>
      </c>
      <c r="N88" s="49">
        <f t="shared" si="17"/>
        <v>0</v>
      </c>
      <c r="O88" s="49">
        <f t="shared" si="17"/>
        <v>0</v>
      </c>
      <c r="P88" s="49">
        <f t="shared" si="17"/>
        <v>0</v>
      </c>
      <c r="Q88" s="49">
        <f t="shared" si="17"/>
        <v>0</v>
      </c>
      <c r="R88" s="49">
        <f t="shared" si="17"/>
        <v>0</v>
      </c>
      <c r="S88" s="49">
        <f t="shared" si="17"/>
        <v>0</v>
      </c>
      <c r="T88" s="49">
        <f t="shared" si="17"/>
        <v>0</v>
      </c>
      <c r="U88" s="49">
        <f t="shared" si="17"/>
        <v>0</v>
      </c>
      <c r="V88" s="49">
        <f t="shared" si="17"/>
        <v>0</v>
      </c>
      <c r="W88" s="49">
        <f t="shared" si="17"/>
        <v>0</v>
      </c>
      <c r="X88" s="49">
        <f t="shared" si="17"/>
        <v>0</v>
      </c>
      <c r="Y88" s="49">
        <f t="shared" si="17"/>
        <v>0</v>
      </c>
      <c r="Z88" s="49">
        <f t="shared" si="17"/>
        <v>0</v>
      </c>
    </row>
    <row r="89" spans="1:26" s="43" customFormat="1" ht="16.5" thickTop="1" x14ac:dyDescent="0.25">
      <c r="B89" s="43" t="str">
        <f>IF(Inputs!D2="Metric","Fully Loaded Cost/Liter ($/Liter)","Fully Loaded Cost/Liter ($/Gallon)")</f>
        <v>Fully Loaded Cost/Liter ($/Gallon)</v>
      </c>
      <c r="C89" s="34"/>
      <c r="D89" s="50">
        <f t="shared" ref="D89:Z89" si="18">IF(ISERROR(D88/(D35+D37+D39+D41)),0,D88/(D35+D37+D39+D41))</f>
        <v>0</v>
      </c>
      <c r="E89" s="50">
        <f t="shared" si="18"/>
        <v>0</v>
      </c>
      <c r="F89" s="50">
        <f t="shared" si="18"/>
        <v>0</v>
      </c>
      <c r="G89" s="50">
        <f t="shared" si="18"/>
        <v>0</v>
      </c>
      <c r="H89" s="50">
        <f t="shared" si="18"/>
        <v>0</v>
      </c>
      <c r="I89" s="50">
        <f t="shared" si="18"/>
        <v>0</v>
      </c>
      <c r="J89" s="50">
        <f t="shared" si="18"/>
        <v>0</v>
      </c>
      <c r="K89" s="50">
        <f t="shared" si="18"/>
        <v>0</v>
      </c>
      <c r="L89" s="50">
        <f t="shared" si="18"/>
        <v>0</v>
      </c>
      <c r="M89" s="50">
        <f t="shared" si="18"/>
        <v>0</v>
      </c>
      <c r="N89" s="50">
        <f t="shared" si="18"/>
        <v>0</v>
      </c>
      <c r="O89" s="50">
        <f t="shared" si="18"/>
        <v>0</v>
      </c>
      <c r="P89" s="50">
        <f t="shared" si="18"/>
        <v>0</v>
      </c>
      <c r="Q89" s="50">
        <f t="shared" si="18"/>
        <v>0</v>
      </c>
      <c r="R89" s="50">
        <f t="shared" si="18"/>
        <v>0</v>
      </c>
      <c r="S89" s="50">
        <f t="shared" si="18"/>
        <v>0</v>
      </c>
      <c r="T89" s="50">
        <f t="shared" si="18"/>
        <v>0</v>
      </c>
      <c r="U89" s="50">
        <f t="shared" si="18"/>
        <v>0</v>
      </c>
      <c r="V89" s="50">
        <f t="shared" si="18"/>
        <v>0</v>
      </c>
      <c r="W89" s="50">
        <f t="shared" si="18"/>
        <v>0</v>
      </c>
      <c r="X89" s="50">
        <f t="shared" si="18"/>
        <v>0</v>
      </c>
      <c r="Y89" s="50">
        <f t="shared" si="18"/>
        <v>0</v>
      </c>
      <c r="Z89" s="50">
        <f t="shared" si="18"/>
        <v>0</v>
      </c>
    </row>
    <row r="90" spans="1:26" s="43" customFormat="1" x14ac:dyDescent="0.25">
      <c r="B90" s="34" t="s">
        <v>38</v>
      </c>
      <c r="C90" s="34"/>
      <c r="D90" s="50">
        <f t="shared" ref="D90:Z90" si="19">IF(ISERROR(D88/(D36+D38+D40+D42)),0,D88/(D36+D38+D40+D42))</f>
        <v>0</v>
      </c>
      <c r="E90" s="50">
        <f t="shared" si="19"/>
        <v>0</v>
      </c>
      <c r="F90" s="50">
        <f t="shared" si="19"/>
        <v>0</v>
      </c>
      <c r="G90" s="50">
        <f t="shared" si="19"/>
        <v>0</v>
      </c>
      <c r="H90" s="50">
        <f t="shared" si="19"/>
        <v>0</v>
      </c>
      <c r="I90" s="50">
        <f t="shared" si="19"/>
        <v>0</v>
      </c>
      <c r="J90" s="50">
        <f t="shared" si="19"/>
        <v>0</v>
      </c>
      <c r="K90" s="50">
        <f t="shared" si="19"/>
        <v>0</v>
      </c>
      <c r="L90" s="50">
        <f t="shared" si="19"/>
        <v>0</v>
      </c>
      <c r="M90" s="50">
        <f t="shared" si="19"/>
        <v>0</v>
      </c>
      <c r="N90" s="50">
        <f t="shared" si="19"/>
        <v>0</v>
      </c>
      <c r="O90" s="50">
        <f t="shared" si="19"/>
        <v>0</v>
      </c>
      <c r="P90" s="50">
        <f t="shared" si="19"/>
        <v>0</v>
      </c>
      <c r="Q90" s="50">
        <f t="shared" si="19"/>
        <v>0</v>
      </c>
      <c r="R90" s="50">
        <f t="shared" si="19"/>
        <v>0</v>
      </c>
      <c r="S90" s="50">
        <f t="shared" si="19"/>
        <v>0</v>
      </c>
      <c r="T90" s="50">
        <f t="shared" si="19"/>
        <v>0</v>
      </c>
      <c r="U90" s="50">
        <f t="shared" si="19"/>
        <v>0</v>
      </c>
      <c r="V90" s="50">
        <f t="shared" si="19"/>
        <v>0</v>
      </c>
      <c r="W90" s="50">
        <f t="shared" si="19"/>
        <v>0</v>
      </c>
      <c r="X90" s="50">
        <f t="shared" si="19"/>
        <v>0</v>
      </c>
      <c r="Y90" s="50">
        <f t="shared" si="19"/>
        <v>0</v>
      </c>
      <c r="Z90" s="50">
        <f t="shared" si="19"/>
        <v>0</v>
      </c>
    </row>
    <row r="91" spans="1:26" s="51" customFormat="1" x14ac:dyDescent="0.25">
      <c r="B91" s="33" t="s">
        <v>39</v>
      </c>
      <c r="C91" s="33"/>
      <c r="D91" s="39">
        <f t="shared" ref="D91:Z91" si="20">D70-D88</f>
        <v>0</v>
      </c>
      <c r="E91" s="39">
        <f t="shared" si="20"/>
        <v>0</v>
      </c>
      <c r="F91" s="39">
        <f t="shared" si="20"/>
        <v>0</v>
      </c>
      <c r="G91" s="39">
        <f t="shared" si="20"/>
        <v>0</v>
      </c>
      <c r="H91" s="39">
        <f t="shared" si="20"/>
        <v>0</v>
      </c>
      <c r="I91" s="39">
        <f t="shared" si="20"/>
        <v>0</v>
      </c>
      <c r="J91" s="39">
        <f t="shared" si="20"/>
        <v>0</v>
      </c>
      <c r="K91" s="39">
        <f t="shared" si="20"/>
        <v>0</v>
      </c>
      <c r="L91" s="39">
        <f t="shared" si="20"/>
        <v>0</v>
      </c>
      <c r="M91" s="39">
        <f t="shared" si="20"/>
        <v>0</v>
      </c>
      <c r="N91" s="39">
        <f t="shared" si="20"/>
        <v>0</v>
      </c>
      <c r="O91" s="39">
        <f t="shared" si="20"/>
        <v>0</v>
      </c>
      <c r="P91" s="39">
        <f t="shared" si="20"/>
        <v>0</v>
      </c>
      <c r="Q91" s="39">
        <f t="shared" si="20"/>
        <v>0</v>
      </c>
      <c r="R91" s="39">
        <f t="shared" si="20"/>
        <v>0</v>
      </c>
      <c r="S91" s="39">
        <f t="shared" si="20"/>
        <v>0</v>
      </c>
      <c r="T91" s="39">
        <f t="shared" si="20"/>
        <v>0</v>
      </c>
      <c r="U91" s="39">
        <f t="shared" si="20"/>
        <v>0</v>
      </c>
      <c r="V91" s="39">
        <f t="shared" si="20"/>
        <v>0</v>
      </c>
      <c r="W91" s="39">
        <f t="shared" si="20"/>
        <v>0</v>
      </c>
      <c r="X91" s="39">
        <f t="shared" si="20"/>
        <v>0</v>
      </c>
      <c r="Y91" s="39">
        <f t="shared" si="20"/>
        <v>0</v>
      </c>
      <c r="Z91" s="39">
        <f t="shared" si="20"/>
        <v>0</v>
      </c>
    </row>
    <row r="92" spans="1:26" s="51" customFormat="1" x14ac:dyDescent="0.25">
      <c r="B92" s="33" t="s">
        <v>40</v>
      </c>
      <c r="C92" s="33"/>
      <c r="D92" s="39">
        <f>IF(AND(D20&gt;0,D20&lt;=Inputs!$D$10),SUM($D$91:D91),0)</f>
        <v>0</v>
      </c>
      <c r="E92" s="39">
        <f>IF(AND(E20&gt;0,E20&lt;=Inputs!$D$10),SUM($D$91:E91),0)</f>
        <v>0</v>
      </c>
      <c r="F92" s="39">
        <f>IF(AND(F20&gt;0,F20&lt;=Inputs!$D$10),SUM($D$91:F91),0)</f>
        <v>0</v>
      </c>
      <c r="G92" s="39">
        <f>IF(AND(G20&gt;0,G20&lt;=Inputs!$D$10),SUM($D$91:G91),0)</f>
        <v>0</v>
      </c>
      <c r="H92" s="39">
        <f>IF(AND(H20&gt;0,H20&lt;=Inputs!$D$10),SUM($D$91:H91),0)</f>
        <v>0</v>
      </c>
      <c r="I92" s="39">
        <f>IF(AND(I20&gt;0,I20&lt;=Inputs!$D$10),SUM($D$91:I91),0)</f>
        <v>0</v>
      </c>
      <c r="J92" s="39">
        <f>IF(AND(J20&gt;0,J20&lt;=Inputs!$D$10),SUM($D$91:J91),0)</f>
        <v>0</v>
      </c>
      <c r="K92" s="39">
        <f>IF(AND(K20&gt;0,K20&lt;=Inputs!$D$10),SUM($D$91:K91),0)</f>
        <v>0</v>
      </c>
      <c r="L92" s="39">
        <f>IF(AND(L20&gt;0,L20&lt;=Inputs!$D$10),SUM($D$91:L91),0)</f>
        <v>0</v>
      </c>
      <c r="M92" s="39">
        <f>IF(AND(M20&gt;0,M20&lt;=Inputs!$D$10),SUM($D$91:M91),0)</f>
        <v>0</v>
      </c>
      <c r="N92" s="39">
        <f>IF(AND(N20&gt;0,N20&lt;=Inputs!$D$10),SUM($D$91:N91),0)</f>
        <v>0</v>
      </c>
      <c r="O92" s="39">
        <f>IF(AND(O20&gt;0,O20&lt;=Inputs!$D$10),SUM($D$91:O91),0)</f>
        <v>0</v>
      </c>
      <c r="P92" s="39">
        <f>IF(AND(P20&gt;0,P20&lt;=Inputs!$D$10),SUM($D$91:P91),0)</f>
        <v>0</v>
      </c>
      <c r="Q92" s="39">
        <f>IF(AND(Q20&gt;0,Q20&lt;=Inputs!$D$10),SUM($D$91:Q91),0)</f>
        <v>0</v>
      </c>
      <c r="R92" s="39">
        <f>IF(AND(R20&gt;0,R20&lt;=Inputs!$D$10),SUM($D$91:R91),0)</f>
        <v>0</v>
      </c>
      <c r="S92" s="39">
        <f>IF(AND(S20&gt;0,S20&lt;=Inputs!$D$10),SUM($D$91:S91),0)</f>
        <v>0</v>
      </c>
      <c r="T92" s="39">
        <f>IF(AND(T20&gt;0,T20&lt;=Inputs!$D$10),SUM($D$91:T91),0)</f>
        <v>0</v>
      </c>
      <c r="U92" s="39">
        <f>IF(AND(U20&gt;0,U20&lt;=Inputs!$D$10),SUM($D$91:U91),0)</f>
        <v>0</v>
      </c>
      <c r="V92" s="39">
        <f>IF(AND(V20&gt;0,V20&lt;=Inputs!$D$10),SUM($D$91:V91),0)</f>
        <v>0</v>
      </c>
      <c r="W92" s="39">
        <f>IF(AND(W20&gt;0,W20&lt;=Inputs!$D$10),SUM($D$91:W91),0)</f>
        <v>0</v>
      </c>
      <c r="X92" s="39">
        <f>IF(AND(X20&gt;0,X20&lt;=Inputs!$D$10),SUM($D$91:X91),0)</f>
        <v>0</v>
      </c>
      <c r="Y92" s="39">
        <f>IF(AND(Y20&gt;0,Y20&lt;=Inputs!$D$10),SUM($D$91:Y91),0)</f>
        <v>0</v>
      </c>
      <c r="Z92" s="39">
        <f>IF(AND(Z20&gt;0,Z20&lt;=Inputs!$D$10),SUM($D$91:Z91),0)</f>
        <v>0</v>
      </c>
    </row>
    <row r="93" spans="1:26" s="43" customFormat="1" x14ac:dyDescent="0.25">
      <c r="B93" s="34"/>
      <c r="C93" s="34"/>
      <c r="D93" s="52"/>
      <c r="E93" s="52"/>
      <c r="F93" s="52"/>
      <c r="G93" s="52"/>
      <c r="H93" s="52"/>
      <c r="I93" s="52"/>
      <c r="J93" s="52"/>
      <c r="K93" s="52"/>
      <c r="L93" s="52"/>
      <c r="M93" s="52"/>
      <c r="N93" s="52"/>
      <c r="O93" s="52"/>
      <c r="P93" s="52"/>
      <c r="Q93" s="52"/>
      <c r="R93" s="52"/>
      <c r="S93" s="52"/>
      <c r="T93" s="52"/>
      <c r="U93" s="52"/>
      <c r="V93" s="52"/>
      <c r="W93" s="52"/>
      <c r="X93" s="52"/>
      <c r="Y93" s="52"/>
      <c r="Z93" s="52"/>
    </row>
    <row r="94" spans="1:26" x14ac:dyDescent="0.25">
      <c r="A94" s="53"/>
      <c r="B94" s="54" t="s">
        <v>91</v>
      </c>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s="43" customFormat="1" x14ac:dyDescent="0.25">
      <c r="B95" s="43" t="s">
        <v>80</v>
      </c>
      <c r="D95" s="43">
        <f>D20</f>
        <v>1</v>
      </c>
      <c r="E95" s="43">
        <f>D95+1</f>
        <v>2</v>
      </c>
      <c r="F95" s="43">
        <f t="shared" ref="F95:Z95" si="21">E95+1</f>
        <v>3</v>
      </c>
      <c r="G95" s="43">
        <f t="shared" si="21"/>
        <v>4</v>
      </c>
      <c r="H95" s="43">
        <f t="shared" si="21"/>
        <v>5</v>
      </c>
      <c r="I95" s="43">
        <f t="shared" si="21"/>
        <v>6</v>
      </c>
      <c r="J95" s="43">
        <f t="shared" si="21"/>
        <v>7</v>
      </c>
      <c r="K95" s="43">
        <f t="shared" si="21"/>
        <v>8</v>
      </c>
      <c r="L95" s="43">
        <f t="shared" si="21"/>
        <v>9</v>
      </c>
      <c r="M95" s="43">
        <f t="shared" si="21"/>
        <v>10</v>
      </c>
      <c r="N95" s="43">
        <f t="shared" si="21"/>
        <v>11</v>
      </c>
      <c r="O95" s="43">
        <f t="shared" si="21"/>
        <v>12</v>
      </c>
      <c r="P95" s="43">
        <f t="shared" si="21"/>
        <v>13</v>
      </c>
      <c r="Q95" s="43">
        <f t="shared" si="21"/>
        <v>14</v>
      </c>
      <c r="R95" s="43">
        <f>Q95+1</f>
        <v>15</v>
      </c>
      <c r="S95" s="43">
        <f t="shared" si="21"/>
        <v>16</v>
      </c>
      <c r="T95" s="43">
        <f t="shared" si="21"/>
        <v>17</v>
      </c>
      <c r="U95" s="43">
        <f t="shared" si="21"/>
        <v>18</v>
      </c>
      <c r="V95" s="43">
        <f t="shared" si="21"/>
        <v>19</v>
      </c>
      <c r="W95" s="43">
        <f t="shared" si="21"/>
        <v>20</v>
      </c>
      <c r="X95" s="43">
        <f t="shared" si="21"/>
        <v>21</v>
      </c>
      <c r="Y95" s="43">
        <f t="shared" si="21"/>
        <v>22</v>
      </c>
      <c r="Z95" s="43">
        <f t="shared" si="21"/>
        <v>23</v>
      </c>
    </row>
    <row r="96" spans="1:26" x14ac:dyDescent="0.25">
      <c r="B96" t="s">
        <v>41</v>
      </c>
      <c r="D96" s="17">
        <f>D15</f>
        <v>0</v>
      </c>
      <c r="E96" s="17">
        <f>D100</f>
        <v>0</v>
      </c>
      <c r="F96" s="17">
        <f t="shared" ref="F96:Z96" si="22">E100</f>
        <v>0</v>
      </c>
      <c r="G96" s="17">
        <f t="shared" si="22"/>
        <v>0</v>
      </c>
      <c r="H96" s="17">
        <f t="shared" si="22"/>
        <v>0</v>
      </c>
      <c r="I96" s="17">
        <f t="shared" si="22"/>
        <v>0</v>
      </c>
      <c r="J96" s="17">
        <f t="shared" si="22"/>
        <v>0</v>
      </c>
      <c r="K96" s="17">
        <f t="shared" si="22"/>
        <v>0</v>
      </c>
      <c r="L96" s="17">
        <f t="shared" si="22"/>
        <v>0</v>
      </c>
      <c r="M96" s="17">
        <f t="shared" si="22"/>
        <v>0</v>
      </c>
      <c r="N96" s="17">
        <f t="shared" si="22"/>
        <v>0</v>
      </c>
      <c r="O96" s="17">
        <f t="shared" si="22"/>
        <v>0</v>
      </c>
      <c r="P96" s="17">
        <f t="shared" si="22"/>
        <v>0</v>
      </c>
      <c r="Q96" s="17">
        <f t="shared" si="22"/>
        <v>0</v>
      </c>
      <c r="R96" s="17">
        <f t="shared" si="22"/>
        <v>0</v>
      </c>
      <c r="S96" s="17">
        <f t="shared" si="22"/>
        <v>0</v>
      </c>
      <c r="T96" s="17">
        <f t="shared" si="22"/>
        <v>0</v>
      </c>
      <c r="U96" s="17">
        <f t="shared" si="22"/>
        <v>0</v>
      </c>
      <c r="V96" s="17">
        <f t="shared" si="22"/>
        <v>0</v>
      </c>
      <c r="W96" s="17">
        <f t="shared" si="22"/>
        <v>0</v>
      </c>
      <c r="X96" s="17">
        <f t="shared" si="22"/>
        <v>0</v>
      </c>
      <c r="Y96" s="17">
        <f t="shared" si="22"/>
        <v>0</v>
      </c>
      <c r="Z96" s="17">
        <f t="shared" si="22"/>
        <v>0</v>
      </c>
    </row>
    <row r="97" spans="2:26" x14ac:dyDescent="0.25">
      <c r="B97" t="s">
        <v>42</v>
      </c>
      <c r="D97" s="17">
        <f>IF(ISERROR(IPMT(Inputs!$D$84,D95,Inputs!$D$85,$D$15)),0,(IPMT(Inputs!$D$84,D95,Inputs!$D$85,$D$15)))</f>
        <v>0</v>
      </c>
      <c r="E97" s="17">
        <f>IF(ISERROR(IPMT(Inputs!$D$84,E95,Inputs!$D$85,$D$15)),0,(IPMT(Inputs!$D$84,E95,Inputs!$D$85,$D$15)))</f>
        <v>0</v>
      </c>
      <c r="F97" s="17">
        <f>IF(ISERROR(IPMT(Inputs!$D$84,F95,Inputs!$D$85,$D$15)),0,(IPMT(Inputs!$D$84,F95,Inputs!$D$85,$D$15)))</f>
        <v>0</v>
      </c>
      <c r="G97" s="17">
        <f>IF(ISERROR(IPMT(Inputs!$D$84,G95,Inputs!$D$85,$D$15)),0,(IPMT(Inputs!$D$84,G95,Inputs!$D$85,$D$15)))</f>
        <v>0</v>
      </c>
      <c r="H97" s="17">
        <f>IF(ISERROR(IPMT(Inputs!$D$84,H95,Inputs!$D$85,$D$15)),0,(IPMT(Inputs!$D$84,H95,Inputs!$D$85,$D$15)))</f>
        <v>0</v>
      </c>
      <c r="I97" s="17">
        <f>IF(ISERROR(IPMT(Inputs!$D$84,I95,Inputs!$D$85,$D$15)),0,(IPMT(Inputs!$D$84,I95,Inputs!$D$85,$D$15)))</f>
        <v>0</v>
      </c>
      <c r="J97" s="17">
        <f>IF(ISERROR(IPMT(Inputs!$D$84,J95,Inputs!$D$85,$D$15)),0,(IPMT(Inputs!$D$84,J95,Inputs!$D$85,$D$15)))</f>
        <v>0</v>
      </c>
      <c r="K97" s="17">
        <f>IF(ISERROR(IPMT(Inputs!$D$84,K95,Inputs!$D$85,$D$15)),0,(IPMT(Inputs!$D$84,K95,Inputs!$D$85,$D$15)))</f>
        <v>0</v>
      </c>
      <c r="L97" s="17">
        <f>IF(ISERROR(IPMT(Inputs!$D$84,L95,Inputs!$D$85,$D$15)),0,(IPMT(Inputs!$D$84,L95,Inputs!$D$85,$D$15)))</f>
        <v>0</v>
      </c>
      <c r="M97" s="17">
        <f>IF(ISERROR(IPMT(Inputs!$D$84,M95,Inputs!$D$85,$D$15)),0,(IPMT(Inputs!$D$84,M95,Inputs!$D$85,$D$15)))</f>
        <v>0</v>
      </c>
      <c r="N97" s="17">
        <f>IF(ISERROR(IPMT(Inputs!$D$84,N95,Inputs!$D$85,$D$15)),0,(IPMT(Inputs!$D$84,N95,Inputs!$D$85,$D$15)))</f>
        <v>0</v>
      </c>
      <c r="O97" s="17">
        <f>IF(ISERROR(IPMT(Inputs!$D$84,O95,Inputs!$D$85,$D$15)),0,(IPMT(Inputs!$D$84,O95,Inputs!$D$85,$D$15)))</f>
        <v>0</v>
      </c>
      <c r="P97" s="17">
        <f>IF(ISERROR(IPMT(Inputs!$D$84,P95,Inputs!$D$85,$D$15)),0,(IPMT(Inputs!$D$84,P95,Inputs!$D$85,$D$15)))</f>
        <v>0</v>
      </c>
      <c r="Q97" s="17">
        <f>IF(ISERROR(IPMT(Inputs!$D$84,Q95,Inputs!$D$85,$D$15)),0,(IPMT(Inputs!$D$84,Q95,Inputs!$D$85,$D$15)))</f>
        <v>0</v>
      </c>
      <c r="R97" s="17">
        <f>IF(ISERROR(IPMT(Inputs!$D$84,R95,Inputs!$D$85,$D$15)),0,(IPMT(Inputs!$D$84,R95,Inputs!$D$85,$D$15)))</f>
        <v>0</v>
      </c>
      <c r="S97" s="17">
        <f>IF(ISERROR(IPMT(Inputs!$D$84,S95,Inputs!$D$85,$D$15)),0,(IPMT(Inputs!$D$84,S95,Inputs!$D$85,$D$15)))</f>
        <v>0</v>
      </c>
      <c r="T97" s="17">
        <f>IF(ISERROR(IPMT(Inputs!$D$84,T95,Inputs!$D$85,$D$15)),0,(IPMT(Inputs!$D$84,T95,Inputs!$D$85,$D$15)))</f>
        <v>0</v>
      </c>
      <c r="U97" s="17">
        <f>IF(ISERROR(IPMT(Inputs!$D$84,U95,Inputs!$D$85,$D$15)),0,(IPMT(Inputs!$D$84,U95,Inputs!$D$85,$D$15)))</f>
        <v>0</v>
      </c>
      <c r="V97" s="17">
        <f>IF(ISERROR(IPMT(Inputs!$D$84,V95,Inputs!$D$85,$D$15)),0,(IPMT(Inputs!$D$84,V95,Inputs!$D$85,$D$15)))</f>
        <v>0</v>
      </c>
      <c r="W97" s="17">
        <f>IF(ISERROR(IPMT(Inputs!$D$84,W95,Inputs!$D$85,$D$15)),0,(IPMT(Inputs!$D$84,W95,Inputs!$D$85,$D$15)))</f>
        <v>0</v>
      </c>
      <c r="X97" s="17">
        <f>IF(ISERROR(IPMT(Inputs!$D$84,X95,Inputs!$D$85,$D$15)),0,(IPMT(Inputs!$D$84,X95,Inputs!$D$85,$D$15)))</f>
        <v>0</v>
      </c>
      <c r="Y97" s="17">
        <f>IF(ISERROR(IPMT(Inputs!$D$84,Y95,Inputs!$D$85,$D$15)),0,(IPMT(Inputs!$D$84,Y95,Inputs!$D$85,$D$15)))</f>
        <v>0</v>
      </c>
      <c r="Z97" s="17">
        <f>IF(ISERROR(IPMT(Inputs!$D$84,Z95,Inputs!$D$85,$D$15)),0,(IPMT(Inputs!$D$84,Z95,Inputs!$D$85,$D$15)))</f>
        <v>0</v>
      </c>
    </row>
    <row r="98" spans="2:26" x14ac:dyDescent="0.25">
      <c r="B98" t="s">
        <v>43</v>
      </c>
      <c r="D98" s="17">
        <f>IF(ISERROR(PPMT(Inputs!$D$84,D95,Inputs!$D$85,$D$15)),0,PPMT(Inputs!$D$84,D95,Inputs!$D$85,$D$15))</f>
        <v>0</v>
      </c>
      <c r="E98" s="17">
        <f>IF(ISERROR(PPMT(Inputs!$D$84,E95,Inputs!$D$85,$D$15)),0,PPMT(Inputs!$D$84,E95,Inputs!$D$85,$D$15))</f>
        <v>0</v>
      </c>
      <c r="F98" s="17">
        <f>IF(ISERROR(PPMT(Inputs!$D$84,F95,Inputs!$D$85,$D$15)),0,PPMT(Inputs!$D$84,F95,Inputs!$D$85,$D$15))</f>
        <v>0</v>
      </c>
      <c r="G98" s="17">
        <f>IF(ISERROR(PPMT(Inputs!$D$84,G95,Inputs!$D$85,$D$15)),0,PPMT(Inputs!$D$84,G95,Inputs!$D$85,$D$15))</f>
        <v>0</v>
      </c>
      <c r="H98" s="17">
        <f>IF(ISERROR(PPMT(Inputs!$D$84,H95,Inputs!$D$85,$D$15)),0,PPMT(Inputs!$D$84,H95,Inputs!$D$85,$D$15))</f>
        <v>0</v>
      </c>
      <c r="I98" s="17">
        <f>IF(ISERROR(PPMT(Inputs!$D$84,I95,Inputs!$D$85,$D$15)),0,PPMT(Inputs!$D$84,I95,Inputs!$D$85,$D$15))</f>
        <v>0</v>
      </c>
      <c r="J98" s="17">
        <f>IF(ISERROR(PPMT(Inputs!$D$84,J95,Inputs!$D$85,$D$15)),0,PPMT(Inputs!$D$84,J95,Inputs!$D$85,$D$15))</f>
        <v>0</v>
      </c>
      <c r="K98" s="17">
        <f>IF(ISERROR(PPMT(Inputs!$D$84,K95,Inputs!$D$85,$D$15)),0,PPMT(Inputs!$D$84,K95,Inputs!$D$85,$D$15))</f>
        <v>0</v>
      </c>
      <c r="L98" s="17">
        <f>IF(ISERROR(PPMT(Inputs!$D$84,L95,Inputs!$D$85,$D$15)),0,PPMT(Inputs!$D$84,L95,Inputs!$D$85,$D$15))</f>
        <v>0</v>
      </c>
      <c r="M98" s="17">
        <f>IF(ISERROR(PPMT(Inputs!$D$84,M95,Inputs!$D$85,$D$15)),0,PPMT(Inputs!$D$84,M95,Inputs!$D$85,$D$15))</f>
        <v>0</v>
      </c>
      <c r="N98" s="17">
        <f>IF(ISERROR(PPMT(Inputs!$D$84,N95,Inputs!$D$85,$D$15)),0,PPMT(Inputs!$D$84,N95,Inputs!$D$85,$D$15))</f>
        <v>0</v>
      </c>
      <c r="O98" s="17">
        <f>IF(ISERROR(PPMT(Inputs!$D$84,O95,Inputs!$D$85,$D$15)),0,PPMT(Inputs!$D$84,O95,Inputs!$D$85,$D$15))</f>
        <v>0</v>
      </c>
      <c r="P98" s="17">
        <f>IF(ISERROR(PPMT(Inputs!$D$84,P95,Inputs!$D$85,$D$15)),0,PPMT(Inputs!$D$84,P95,Inputs!$D$85,$D$15))</f>
        <v>0</v>
      </c>
      <c r="Q98" s="17">
        <f>IF(ISERROR(PPMT(Inputs!$D$84,Q95,Inputs!$D$85,$D$15)),0,PPMT(Inputs!$D$84,Q95,Inputs!$D$85,$D$15))</f>
        <v>0</v>
      </c>
      <c r="R98" s="17">
        <f>IF(ISERROR(PPMT(Inputs!$D$84,R95,Inputs!$D$85,$D$15)),0,PPMT(Inputs!$D$84,R95,Inputs!$D$85,$D$15))</f>
        <v>0</v>
      </c>
      <c r="S98" s="17">
        <f>IF(ISERROR(PPMT(Inputs!$D$84,S95,Inputs!$D$85,$D$15)),0,PPMT(Inputs!$D$84,S95,Inputs!$D$85,$D$15))</f>
        <v>0</v>
      </c>
      <c r="T98" s="17">
        <f>IF(ISERROR(PPMT(Inputs!$D$84,T95,Inputs!$D$85,$D$15)),0,PPMT(Inputs!$D$84,T95,Inputs!$D$85,$D$15))</f>
        <v>0</v>
      </c>
      <c r="U98" s="17">
        <f>IF(ISERROR(PPMT(Inputs!$D$84,U95,Inputs!$D$85,$D$15)),0,PPMT(Inputs!$D$84,U95,Inputs!$D$85,$D$15))</f>
        <v>0</v>
      </c>
      <c r="V98" s="17">
        <f>IF(ISERROR(PPMT(Inputs!$D$84,V95,Inputs!$D$85,$D$15)),0,PPMT(Inputs!$D$84,V95,Inputs!$D$85,$D$15))</f>
        <v>0</v>
      </c>
      <c r="W98" s="17">
        <f>IF(ISERROR(PPMT(Inputs!$D$84,W95,Inputs!$D$85,$D$15)),0,PPMT(Inputs!$D$84,W95,Inputs!$D$85,$D$15))</f>
        <v>0</v>
      </c>
      <c r="X98" s="17">
        <f>IF(ISERROR(PPMT(Inputs!$D$84,X95,Inputs!$D$85,$D$15)),0,PPMT(Inputs!$D$84,X95,Inputs!$D$85,$D$15))</f>
        <v>0</v>
      </c>
      <c r="Y98" s="17">
        <f>IF(ISERROR(PPMT(Inputs!$D$84,Y95,Inputs!$D$85,$D$15)),0,PPMT(Inputs!$D$84,Y95,Inputs!$D$85,$D$15))</f>
        <v>0</v>
      </c>
      <c r="Z98" s="17">
        <f>IF(ISERROR(PPMT(Inputs!$D$84,Z95,Inputs!$D$85,$D$15)),0,PPMT(Inputs!$D$84,Z95,Inputs!$D$85,$D$15))</f>
        <v>0</v>
      </c>
    </row>
    <row r="99" spans="2:26" x14ac:dyDescent="0.25">
      <c r="B99" t="s">
        <v>44</v>
      </c>
      <c r="D99" s="17">
        <f>D97+D98</f>
        <v>0</v>
      </c>
      <c r="E99" s="17">
        <f t="shared" ref="E99:Z99" si="23">E97+E98</f>
        <v>0</v>
      </c>
      <c r="F99" s="17">
        <f t="shared" si="23"/>
        <v>0</v>
      </c>
      <c r="G99" s="17">
        <f t="shared" si="23"/>
        <v>0</v>
      </c>
      <c r="H99" s="17">
        <f t="shared" si="23"/>
        <v>0</v>
      </c>
      <c r="I99" s="17">
        <f t="shared" si="23"/>
        <v>0</v>
      </c>
      <c r="J99" s="17">
        <f t="shared" si="23"/>
        <v>0</v>
      </c>
      <c r="K99" s="17">
        <f t="shared" si="23"/>
        <v>0</v>
      </c>
      <c r="L99" s="17">
        <f t="shared" si="23"/>
        <v>0</v>
      </c>
      <c r="M99" s="17">
        <f t="shared" si="23"/>
        <v>0</v>
      </c>
      <c r="N99" s="17">
        <f t="shared" si="23"/>
        <v>0</v>
      </c>
      <c r="O99" s="17">
        <f t="shared" si="23"/>
        <v>0</v>
      </c>
      <c r="P99" s="17">
        <f t="shared" si="23"/>
        <v>0</v>
      </c>
      <c r="Q99" s="17">
        <f t="shared" si="23"/>
        <v>0</v>
      </c>
      <c r="R99" s="17">
        <f t="shared" si="23"/>
        <v>0</v>
      </c>
      <c r="S99" s="17">
        <f t="shared" si="23"/>
        <v>0</v>
      </c>
      <c r="T99" s="17">
        <f t="shared" si="23"/>
        <v>0</v>
      </c>
      <c r="U99" s="17">
        <f t="shared" si="23"/>
        <v>0</v>
      </c>
      <c r="V99" s="17">
        <f t="shared" si="23"/>
        <v>0</v>
      </c>
      <c r="W99" s="17">
        <f t="shared" si="23"/>
        <v>0</v>
      </c>
      <c r="X99" s="17">
        <f t="shared" si="23"/>
        <v>0</v>
      </c>
      <c r="Y99" s="17">
        <f t="shared" si="23"/>
        <v>0</v>
      </c>
      <c r="Z99" s="17">
        <f t="shared" si="23"/>
        <v>0</v>
      </c>
    </row>
    <row r="100" spans="2:26" x14ac:dyDescent="0.25">
      <c r="B100" t="s">
        <v>45</v>
      </c>
      <c r="D100" s="17">
        <f>D96+D98</f>
        <v>0</v>
      </c>
      <c r="E100" s="17">
        <f>E96+E98</f>
        <v>0</v>
      </c>
      <c r="F100" s="17">
        <f t="shared" ref="F100:Z100" si="24">F96+F98</f>
        <v>0</v>
      </c>
      <c r="G100" s="17">
        <f t="shared" si="24"/>
        <v>0</v>
      </c>
      <c r="H100" s="17">
        <f t="shared" si="24"/>
        <v>0</v>
      </c>
      <c r="I100" s="17">
        <f t="shared" si="24"/>
        <v>0</v>
      </c>
      <c r="J100" s="17">
        <f t="shared" si="24"/>
        <v>0</v>
      </c>
      <c r="K100" s="17">
        <f t="shared" si="24"/>
        <v>0</v>
      </c>
      <c r="L100" s="17">
        <f t="shared" si="24"/>
        <v>0</v>
      </c>
      <c r="M100" s="17">
        <f t="shared" si="24"/>
        <v>0</v>
      </c>
      <c r="N100" s="17">
        <f t="shared" si="24"/>
        <v>0</v>
      </c>
      <c r="O100" s="17">
        <f t="shared" si="24"/>
        <v>0</v>
      </c>
      <c r="P100" s="17">
        <f t="shared" si="24"/>
        <v>0</v>
      </c>
      <c r="Q100" s="17">
        <f t="shared" si="24"/>
        <v>0</v>
      </c>
      <c r="R100" s="17">
        <f t="shared" si="24"/>
        <v>0</v>
      </c>
      <c r="S100" s="17">
        <f t="shared" si="24"/>
        <v>0</v>
      </c>
      <c r="T100" s="17">
        <f t="shared" si="24"/>
        <v>0</v>
      </c>
      <c r="U100" s="17">
        <f t="shared" si="24"/>
        <v>0</v>
      </c>
      <c r="V100" s="17">
        <f t="shared" si="24"/>
        <v>0</v>
      </c>
      <c r="W100" s="17">
        <f t="shared" si="24"/>
        <v>0</v>
      </c>
      <c r="X100" s="17">
        <f t="shared" si="24"/>
        <v>0</v>
      </c>
      <c r="Y100" s="17">
        <f t="shared" si="24"/>
        <v>0</v>
      </c>
      <c r="Z100" s="17">
        <f t="shared" si="24"/>
        <v>0</v>
      </c>
    </row>
    <row r="102" spans="2:26" x14ac:dyDescent="0.25">
      <c r="B102" s="54" t="s">
        <v>46</v>
      </c>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2:26" x14ac:dyDescent="0.25">
      <c r="B103" s="53" t="s">
        <v>47</v>
      </c>
      <c r="D103" s="17">
        <f t="shared" ref="D103:Z103" si="25">D70-D85-D117</f>
        <v>0</v>
      </c>
      <c r="E103" s="17">
        <f t="shared" si="25"/>
        <v>0</v>
      </c>
      <c r="F103" s="17">
        <f t="shared" si="25"/>
        <v>0</v>
      </c>
      <c r="G103" s="17">
        <f t="shared" si="25"/>
        <v>0</v>
      </c>
      <c r="H103" s="17">
        <f t="shared" si="25"/>
        <v>0</v>
      </c>
      <c r="I103" s="17">
        <f t="shared" si="25"/>
        <v>0</v>
      </c>
      <c r="J103" s="17">
        <f t="shared" si="25"/>
        <v>0</v>
      </c>
      <c r="K103" s="17">
        <f t="shared" si="25"/>
        <v>0</v>
      </c>
      <c r="L103" s="17">
        <f t="shared" si="25"/>
        <v>0</v>
      </c>
      <c r="M103" s="17">
        <f t="shared" si="25"/>
        <v>0</v>
      </c>
      <c r="N103" s="17">
        <f t="shared" si="25"/>
        <v>0</v>
      </c>
      <c r="O103" s="17">
        <f t="shared" si="25"/>
        <v>0</v>
      </c>
      <c r="P103" s="17">
        <f t="shared" si="25"/>
        <v>0</v>
      </c>
      <c r="Q103" s="17">
        <f t="shared" si="25"/>
        <v>0</v>
      </c>
      <c r="R103" s="17">
        <f t="shared" si="25"/>
        <v>0</v>
      </c>
      <c r="S103" s="17">
        <f t="shared" si="25"/>
        <v>0</v>
      </c>
      <c r="T103" s="17">
        <f t="shared" si="25"/>
        <v>0</v>
      </c>
      <c r="U103" s="17">
        <f t="shared" si="25"/>
        <v>0</v>
      </c>
      <c r="V103" s="17">
        <f t="shared" si="25"/>
        <v>0</v>
      </c>
      <c r="W103" s="17">
        <f t="shared" si="25"/>
        <v>0</v>
      </c>
      <c r="X103" s="17">
        <f t="shared" si="25"/>
        <v>0</v>
      </c>
      <c r="Y103" s="17">
        <f t="shared" si="25"/>
        <v>0</v>
      </c>
      <c r="Z103" s="17">
        <f t="shared" si="25"/>
        <v>0</v>
      </c>
    </row>
    <row r="104" spans="2:26" x14ac:dyDescent="0.25">
      <c r="B104" s="57" t="s">
        <v>48</v>
      </c>
      <c r="D104" s="17">
        <f>(D66+D67+D69)*Inputs!$D$74</f>
        <v>0</v>
      </c>
      <c r="E104" s="17">
        <f>(E66+E67+E69)*Inputs!$D$74</f>
        <v>0</v>
      </c>
      <c r="F104" s="17">
        <f>(F66+F67+F69)*Inputs!$D$74</f>
        <v>0</v>
      </c>
      <c r="G104" s="17">
        <f>(G66+G67+G69)*Inputs!$D$74</f>
        <v>0</v>
      </c>
      <c r="H104" s="17">
        <f>(H66+H67+H69)*Inputs!$D$74</f>
        <v>0</v>
      </c>
      <c r="I104" s="17">
        <f>(I66+I67+I69)*Inputs!$D$74</f>
        <v>0</v>
      </c>
      <c r="J104" s="17">
        <f>(J66+J67+J69)*Inputs!$D$74</f>
        <v>0</v>
      </c>
      <c r="K104" s="17">
        <f>(K66+K67+K69)*Inputs!$D$74</f>
        <v>0</v>
      </c>
      <c r="L104" s="17">
        <f>(L66+L67+L69)*Inputs!$D$74</f>
        <v>0</v>
      </c>
      <c r="M104" s="17">
        <f>(M66+M67+M69)*Inputs!$D$74</f>
        <v>0</v>
      </c>
      <c r="N104" s="17">
        <f>(N66+N67+N69)*Inputs!$D$74</f>
        <v>0</v>
      </c>
      <c r="O104" s="17">
        <f>(O66+O67+O69)*Inputs!$D$74</f>
        <v>0</v>
      </c>
      <c r="P104" s="17">
        <f>(P66+P67+P69)*Inputs!$D$74</f>
        <v>0</v>
      </c>
      <c r="Q104" s="17">
        <f>(Q66+Q67+Q69)*Inputs!$D$74</f>
        <v>0</v>
      </c>
      <c r="R104" s="17">
        <f>(R66+R67+R69)*Inputs!$D$74</f>
        <v>0</v>
      </c>
      <c r="S104" s="17">
        <f>(S66+S67+S69)*Inputs!$D$74</f>
        <v>0</v>
      </c>
      <c r="T104" s="17">
        <f>(T66+T67+T69)*Inputs!$D$74</f>
        <v>0</v>
      </c>
      <c r="U104" s="17">
        <f>(U66+U67+U69)*Inputs!$D$74</f>
        <v>0</v>
      </c>
      <c r="V104" s="17">
        <f>(V66+V67+V69)*Inputs!$D$74</f>
        <v>0</v>
      </c>
      <c r="W104" s="17">
        <f>(W66+W67+W69)*Inputs!$D$74</f>
        <v>0</v>
      </c>
      <c r="X104" s="17">
        <f>(X66+X67+X69)*Inputs!$D$74</f>
        <v>0</v>
      </c>
      <c r="Y104" s="17">
        <f>(Y66+Y67+Y69)*Inputs!$D$74</f>
        <v>0</v>
      </c>
      <c r="Z104" s="17">
        <f>(Z66+Z67+Z69)*Inputs!$D$74</f>
        <v>0</v>
      </c>
    </row>
    <row r="105" spans="2:26" x14ac:dyDescent="0.25">
      <c r="B105" s="53" t="s">
        <v>49</v>
      </c>
      <c r="D105" s="17">
        <f>D103-D104</f>
        <v>0</v>
      </c>
      <c r="E105" s="17">
        <f t="shared" ref="E105:Z105" si="26">E103-E104</f>
        <v>0</v>
      </c>
      <c r="F105" s="17">
        <f t="shared" si="26"/>
        <v>0</v>
      </c>
      <c r="G105" s="17">
        <f t="shared" si="26"/>
        <v>0</v>
      </c>
      <c r="H105" s="17">
        <f t="shared" si="26"/>
        <v>0</v>
      </c>
      <c r="I105" s="17">
        <f t="shared" si="26"/>
        <v>0</v>
      </c>
      <c r="J105" s="17">
        <f t="shared" si="26"/>
        <v>0</v>
      </c>
      <c r="K105" s="17">
        <f t="shared" si="26"/>
        <v>0</v>
      </c>
      <c r="L105" s="17">
        <f t="shared" si="26"/>
        <v>0</v>
      </c>
      <c r="M105" s="17">
        <f t="shared" si="26"/>
        <v>0</v>
      </c>
      <c r="N105" s="17">
        <f t="shared" si="26"/>
        <v>0</v>
      </c>
      <c r="O105" s="17">
        <f t="shared" si="26"/>
        <v>0</v>
      </c>
      <c r="P105" s="17">
        <f t="shared" si="26"/>
        <v>0</v>
      </c>
      <c r="Q105" s="17">
        <f t="shared" si="26"/>
        <v>0</v>
      </c>
      <c r="R105" s="17">
        <f t="shared" si="26"/>
        <v>0</v>
      </c>
      <c r="S105" s="17">
        <f t="shared" si="26"/>
        <v>0</v>
      </c>
      <c r="T105" s="17">
        <f t="shared" si="26"/>
        <v>0</v>
      </c>
      <c r="U105" s="17">
        <f t="shared" si="26"/>
        <v>0</v>
      </c>
      <c r="V105" s="17">
        <f t="shared" si="26"/>
        <v>0</v>
      </c>
      <c r="W105" s="17">
        <f t="shared" si="26"/>
        <v>0</v>
      </c>
      <c r="X105" s="17">
        <f t="shared" si="26"/>
        <v>0</v>
      </c>
      <c r="Y105" s="17">
        <f t="shared" si="26"/>
        <v>0</v>
      </c>
      <c r="Z105" s="17">
        <f t="shared" si="26"/>
        <v>0</v>
      </c>
    </row>
    <row r="106" spans="2:26" x14ac:dyDescent="0.25">
      <c r="B106" s="53" t="s">
        <v>50</v>
      </c>
      <c r="D106" s="17">
        <f>D117</f>
        <v>0</v>
      </c>
      <c r="E106" s="17">
        <f t="shared" ref="E106:Z106" si="27">E117</f>
        <v>0</v>
      </c>
      <c r="F106" s="17">
        <f t="shared" si="27"/>
        <v>0</v>
      </c>
      <c r="G106" s="17">
        <f t="shared" si="27"/>
        <v>0</v>
      </c>
      <c r="H106" s="17">
        <f t="shared" si="27"/>
        <v>0</v>
      </c>
      <c r="I106" s="17">
        <f t="shared" si="27"/>
        <v>0</v>
      </c>
      <c r="J106" s="17">
        <f t="shared" si="27"/>
        <v>0</v>
      </c>
      <c r="K106" s="17">
        <f t="shared" si="27"/>
        <v>0</v>
      </c>
      <c r="L106" s="17">
        <f t="shared" si="27"/>
        <v>0</v>
      </c>
      <c r="M106" s="17">
        <f t="shared" si="27"/>
        <v>0</v>
      </c>
      <c r="N106" s="17">
        <f t="shared" si="27"/>
        <v>0</v>
      </c>
      <c r="O106" s="17">
        <f t="shared" si="27"/>
        <v>0</v>
      </c>
      <c r="P106" s="17">
        <f t="shared" si="27"/>
        <v>0</v>
      </c>
      <c r="Q106" s="17">
        <f t="shared" si="27"/>
        <v>0</v>
      </c>
      <c r="R106" s="17">
        <f t="shared" si="27"/>
        <v>0</v>
      </c>
      <c r="S106" s="17">
        <f t="shared" si="27"/>
        <v>0</v>
      </c>
      <c r="T106" s="17">
        <f t="shared" si="27"/>
        <v>0</v>
      </c>
      <c r="U106" s="17">
        <f t="shared" si="27"/>
        <v>0</v>
      </c>
      <c r="V106" s="17">
        <f t="shared" si="27"/>
        <v>0</v>
      </c>
      <c r="W106" s="17">
        <f t="shared" si="27"/>
        <v>0</v>
      </c>
      <c r="X106" s="17">
        <f t="shared" si="27"/>
        <v>0</v>
      </c>
      <c r="Y106" s="17">
        <f t="shared" si="27"/>
        <v>0</v>
      </c>
      <c r="Z106" s="17">
        <f t="shared" si="27"/>
        <v>0</v>
      </c>
    </row>
    <row r="107" spans="2:26" x14ac:dyDescent="0.25">
      <c r="B107" s="53" t="s">
        <v>46</v>
      </c>
      <c r="D107" s="17">
        <f>D105+D106</f>
        <v>0</v>
      </c>
      <c r="E107" s="17">
        <f t="shared" ref="E107:Z107" si="28">E105+E106</f>
        <v>0</v>
      </c>
      <c r="F107" s="17">
        <f t="shared" si="28"/>
        <v>0</v>
      </c>
      <c r="G107" s="17">
        <f t="shared" si="28"/>
        <v>0</v>
      </c>
      <c r="H107" s="17">
        <f t="shared" si="28"/>
        <v>0</v>
      </c>
      <c r="I107" s="17">
        <f t="shared" si="28"/>
        <v>0</v>
      </c>
      <c r="J107" s="17">
        <f t="shared" si="28"/>
        <v>0</v>
      </c>
      <c r="K107" s="17">
        <f t="shared" si="28"/>
        <v>0</v>
      </c>
      <c r="L107" s="17">
        <f t="shared" si="28"/>
        <v>0</v>
      </c>
      <c r="M107" s="17">
        <f t="shared" si="28"/>
        <v>0</v>
      </c>
      <c r="N107" s="17">
        <f t="shared" si="28"/>
        <v>0</v>
      </c>
      <c r="O107" s="17">
        <f t="shared" si="28"/>
        <v>0</v>
      </c>
      <c r="P107" s="17">
        <f t="shared" si="28"/>
        <v>0</v>
      </c>
      <c r="Q107" s="17">
        <f t="shared" si="28"/>
        <v>0</v>
      </c>
      <c r="R107" s="17">
        <f t="shared" si="28"/>
        <v>0</v>
      </c>
      <c r="S107" s="17">
        <f t="shared" si="28"/>
        <v>0</v>
      </c>
      <c r="T107" s="17">
        <f t="shared" si="28"/>
        <v>0</v>
      </c>
      <c r="U107" s="17">
        <f t="shared" si="28"/>
        <v>0</v>
      </c>
      <c r="V107" s="17">
        <f t="shared" si="28"/>
        <v>0</v>
      </c>
      <c r="W107" s="17">
        <f t="shared" si="28"/>
        <v>0</v>
      </c>
      <c r="X107" s="17">
        <f t="shared" si="28"/>
        <v>0</v>
      </c>
      <c r="Y107" s="17">
        <f t="shared" si="28"/>
        <v>0</v>
      </c>
      <c r="Z107" s="17">
        <f t="shared" si="28"/>
        <v>0</v>
      </c>
    </row>
    <row r="108" spans="2:26" x14ac:dyDescent="0.25">
      <c r="B108" s="58" t="s">
        <v>51</v>
      </c>
      <c r="D108" s="17">
        <f>D99</f>
        <v>0</v>
      </c>
      <c r="E108" s="17">
        <f t="shared" ref="E108:Z108" si="29">E99</f>
        <v>0</v>
      </c>
      <c r="F108" s="17">
        <f t="shared" si="29"/>
        <v>0</v>
      </c>
      <c r="G108" s="17">
        <f t="shared" si="29"/>
        <v>0</v>
      </c>
      <c r="H108" s="17">
        <f t="shared" si="29"/>
        <v>0</v>
      </c>
      <c r="I108" s="17">
        <f t="shared" si="29"/>
        <v>0</v>
      </c>
      <c r="J108" s="17">
        <f t="shared" si="29"/>
        <v>0</v>
      </c>
      <c r="K108" s="17">
        <f t="shared" si="29"/>
        <v>0</v>
      </c>
      <c r="L108" s="17">
        <f t="shared" si="29"/>
        <v>0</v>
      </c>
      <c r="M108" s="17">
        <f t="shared" si="29"/>
        <v>0</v>
      </c>
      <c r="N108" s="17">
        <f t="shared" si="29"/>
        <v>0</v>
      </c>
      <c r="O108" s="17">
        <f t="shared" si="29"/>
        <v>0</v>
      </c>
      <c r="P108" s="17">
        <f t="shared" si="29"/>
        <v>0</v>
      </c>
      <c r="Q108" s="17">
        <f t="shared" si="29"/>
        <v>0</v>
      </c>
      <c r="R108" s="17">
        <f t="shared" si="29"/>
        <v>0</v>
      </c>
      <c r="S108" s="17">
        <f t="shared" si="29"/>
        <v>0</v>
      </c>
      <c r="T108" s="17">
        <f t="shared" si="29"/>
        <v>0</v>
      </c>
      <c r="U108" s="17">
        <f t="shared" si="29"/>
        <v>0</v>
      </c>
      <c r="V108" s="17">
        <f t="shared" si="29"/>
        <v>0</v>
      </c>
      <c r="W108" s="17">
        <f t="shared" si="29"/>
        <v>0</v>
      </c>
      <c r="X108" s="17">
        <f t="shared" si="29"/>
        <v>0</v>
      </c>
      <c r="Y108" s="17">
        <f t="shared" si="29"/>
        <v>0</v>
      </c>
      <c r="Z108" s="17">
        <f t="shared" si="29"/>
        <v>0</v>
      </c>
    </row>
    <row r="109" spans="2:26" x14ac:dyDescent="0.25">
      <c r="B109" s="40" t="s">
        <v>52</v>
      </c>
      <c r="D109" s="17">
        <f>IF(D19=Inputs!$D$6,$D$16,0)</f>
        <v>0</v>
      </c>
      <c r="E109" s="17">
        <f>IF(E19=Inputs!$D$6,$D$16,0)</f>
        <v>0</v>
      </c>
      <c r="F109" s="17">
        <f>IF(F19=Inputs!$D$6,$D$16,0)</f>
        <v>0</v>
      </c>
      <c r="G109" s="17">
        <f>IF(G19=Inputs!$D$6,$D$16,0)</f>
        <v>0</v>
      </c>
      <c r="H109" s="17">
        <f>IF(H19=Inputs!$D$6,$D$16,0)</f>
        <v>0</v>
      </c>
      <c r="I109" s="17">
        <f>IF(I19=Inputs!$D$6,$D$16,0)</f>
        <v>0</v>
      </c>
      <c r="J109" s="17">
        <f>IF(J19=Inputs!$D$6,$D$16,0)</f>
        <v>0</v>
      </c>
      <c r="K109" s="17">
        <f>IF(K19=Inputs!$D$6,$D$16,0)</f>
        <v>0</v>
      </c>
      <c r="L109" s="17">
        <f>IF(L19=Inputs!$D$6,$D$16,0)</f>
        <v>0</v>
      </c>
      <c r="M109" s="17">
        <f>IF(M19=Inputs!$D$6,$D$16,0)</f>
        <v>0</v>
      </c>
      <c r="N109" s="17">
        <f>IF(N19=Inputs!$D$6,$D$16,0)</f>
        <v>0</v>
      </c>
      <c r="O109" s="17">
        <f>IF(O19=Inputs!$D$6,$D$16,0)</f>
        <v>0</v>
      </c>
      <c r="P109" s="17">
        <f>IF(P19=Inputs!$D$6,$D$16,0)</f>
        <v>0</v>
      </c>
      <c r="Q109" s="17">
        <f>IF(Q19=Inputs!$D$6,$D$16,0)</f>
        <v>0</v>
      </c>
      <c r="R109" s="17">
        <f>IF(R19=Inputs!$D$6,$D$16,0)</f>
        <v>0</v>
      </c>
      <c r="S109" s="17">
        <f>IF(S19=Inputs!$D$6,$D$16,0)</f>
        <v>0</v>
      </c>
      <c r="T109" s="17">
        <f>IF(T19=Inputs!$D$6,$D$16,0)</f>
        <v>0</v>
      </c>
      <c r="U109" s="17">
        <f>IF(U19=Inputs!$D$6,$D$16,0)</f>
        <v>0</v>
      </c>
      <c r="V109" s="17">
        <f>IF(V19=Inputs!$D$6,$D$16,0)</f>
        <v>0</v>
      </c>
      <c r="W109" s="17">
        <f>IF(W19=Inputs!$D$6,$D$16,0)</f>
        <v>0</v>
      </c>
      <c r="X109" s="17">
        <f>IF(X19=Inputs!$D$6,$D$16,0)</f>
        <v>0</v>
      </c>
      <c r="Y109" s="17">
        <f>IF(Y19=Inputs!$D$6,$D$16,0)</f>
        <v>0</v>
      </c>
      <c r="Z109" s="17">
        <f>IF(Z19=Inputs!$D$6,$D$16,0)</f>
        <v>0</v>
      </c>
    </row>
    <row r="110" spans="2:26" x14ac:dyDescent="0.25">
      <c r="B110" s="40" t="s">
        <v>53</v>
      </c>
      <c r="D110" s="17">
        <f>IF(D19=Inputs!$D$6,$D$15,0)</f>
        <v>0</v>
      </c>
      <c r="E110" s="17">
        <f>IF(E19=Inputs!$D$6,$D$15,0)</f>
        <v>0</v>
      </c>
      <c r="F110" s="17">
        <f>IF(F19=Inputs!$D$6,$D$15,0)</f>
        <v>0</v>
      </c>
      <c r="G110" s="17">
        <f>IF(G19=Inputs!$D$6,$D$15,0)</f>
        <v>0</v>
      </c>
      <c r="H110" s="17">
        <f>IF(H19=Inputs!$D$6,$D$15,0)</f>
        <v>0</v>
      </c>
      <c r="I110" s="17">
        <f>IF(I19=Inputs!$D$6,$D$15,0)</f>
        <v>0</v>
      </c>
      <c r="J110" s="17">
        <f>IF(J19=Inputs!$D$6,$D$15,0)</f>
        <v>0</v>
      </c>
      <c r="K110" s="17">
        <f>IF(K19=Inputs!$D$6,$D$15,0)</f>
        <v>0</v>
      </c>
      <c r="L110" s="17">
        <f>IF(L19=Inputs!$D$6,$D$15,0)</f>
        <v>0</v>
      </c>
      <c r="M110" s="17">
        <f>IF(M19=Inputs!$D$6,$D$15,0)</f>
        <v>0</v>
      </c>
      <c r="N110" s="17">
        <f>IF(N19=Inputs!$D$6,$D$15,0)</f>
        <v>0</v>
      </c>
      <c r="O110" s="17">
        <f>IF(O19=Inputs!$D$6,$D$15,0)</f>
        <v>0</v>
      </c>
      <c r="P110" s="17">
        <f>IF(P19=Inputs!$D$6,$D$15,0)</f>
        <v>0</v>
      </c>
      <c r="Q110" s="17">
        <f>IF(Q19=Inputs!$D$6,$D$15,0)</f>
        <v>0</v>
      </c>
      <c r="R110" s="17">
        <f>IF(R19=Inputs!$D$6,$D$15,0)</f>
        <v>0</v>
      </c>
      <c r="S110" s="17">
        <f>IF(S19=Inputs!$D$6,$D$15,0)</f>
        <v>0</v>
      </c>
      <c r="T110" s="17">
        <f>IF(T19=Inputs!$D$6,$D$15,0)</f>
        <v>0</v>
      </c>
      <c r="U110" s="17">
        <f>IF(U19=Inputs!$D$6,$D$15,0)</f>
        <v>0</v>
      </c>
      <c r="V110" s="17">
        <f>IF(V19=Inputs!$D$6,$D$15,0)</f>
        <v>0</v>
      </c>
      <c r="W110" s="17">
        <f>IF(W19=Inputs!$D$6,$D$15,0)</f>
        <v>0</v>
      </c>
      <c r="X110" s="17">
        <f>IF(X19=Inputs!$D$6,$D$15,0)</f>
        <v>0</v>
      </c>
      <c r="Y110" s="17">
        <f>IF(Y19=Inputs!$D$6,$D$15,0)</f>
        <v>0</v>
      </c>
      <c r="Z110" s="17">
        <f>IF(Z19=Inputs!$D$6,$D$15,0)</f>
        <v>0</v>
      </c>
    </row>
    <row r="111" spans="2:26" x14ac:dyDescent="0.25">
      <c r="B111" s="40" t="s">
        <v>54</v>
      </c>
      <c r="D111" s="17">
        <f>D105-D108-D109</f>
        <v>0</v>
      </c>
      <c r="E111" s="17">
        <f t="shared" ref="E111:Z111" si="30">E105-E108-E109</f>
        <v>0</v>
      </c>
      <c r="F111" s="17">
        <f t="shared" si="30"/>
        <v>0</v>
      </c>
      <c r="G111" s="17">
        <f t="shared" si="30"/>
        <v>0</v>
      </c>
      <c r="H111" s="17">
        <f t="shared" si="30"/>
        <v>0</v>
      </c>
      <c r="I111" s="17">
        <f t="shared" si="30"/>
        <v>0</v>
      </c>
      <c r="J111" s="17">
        <f t="shared" si="30"/>
        <v>0</v>
      </c>
      <c r="K111" s="17">
        <f t="shared" si="30"/>
        <v>0</v>
      </c>
      <c r="L111" s="17">
        <f t="shared" si="30"/>
        <v>0</v>
      </c>
      <c r="M111" s="17">
        <f t="shared" si="30"/>
        <v>0</v>
      </c>
      <c r="N111" s="17">
        <f t="shared" si="30"/>
        <v>0</v>
      </c>
      <c r="O111" s="17">
        <f t="shared" si="30"/>
        <v>0</v>
      </c>
      <c r="P111" s="17">
        <f t="shared" si="30"/>
        <v>0</v>
      </c>
      <c r="Q111" s="17">
        <f t="shared" si="30"/>
        <v>0</v>
      </c>
      <c r="R111" s="17">
        <f t="shared" si="30"/>
        <v>0</v>
      </c>
      <c r="S111" s="17">
        <f t="shared" si="30"/>
        <v>0</v>
      </c>
      <c r="T111" s="17">
        <f t="shared" si="30"/>
        <v>0</v>
      </c>
      <c r="U111" s="17">
        <f t="shared" si="30"/>
        <v>0</v>
      </c>
      <c r="V111" s="17">
        <f t="shared" si="30"/>
        <v>0</v>
      </c>
      <c r="W111" s="17">
        <f t="shared" si="30"/>
        <v>0</v>
      </c>
      <c r="X111" s="17">
        <f t="shared" si="30"/>
        <v>0</v>
      </c>
      <c r="Y111" s="17">
        <f t="shared" si="30"/>
        <v>0</v>
      </c>
      <c r="Z111" s="17">
        <f t="shared" si="30"/>
        <v>0</v>
      </c>
    </row>
    <row r="112" spans="2:26" ht="16.5" thickBot="1" x14ac:dyDescent="0.3">
      <c r="B112" s="40" t="s">
        <v>55</v>
      </c>
      <c r="D112" s="17">
        <f>IF(D20&lt;Inputs!$D$80,D111,0)</f>
        <v>0</v>
      </c>
      <c r="E112" s="17">
        <f>IF(E20&lt;Inputs!$D$80,E111,0)</f>
        <v>0</v>
      </c>
      <c r="F112" s="17">
        <f>IF(F20&lt;Inputs!$D$80,F111,0)</f>
        <v>0</v>
      </c>
      <c r="G112" s="17">
        <f>IF(G20&lt;Inputs!$D$80,G111,0)</f>
        <v>0</v>
      </c>
      <c r="H112" s="17">
        <f>IF(H20&lt;Inputs!$D$80,H111,0)</f>
        <v>0</v>
      </c>
      <c r="I112" s="17">
        <f>IF(I20&lt;Inputs!$D$80,I111,0)</f>
        <v>0</v>
      </c>
      <c r="J112" s="17">
        <f>IF(J20&lt;Inputs!$D$80,J111,0)</f>
        <v>0</v>
      </c>
      <c r="K112" s="17">
        <f>IF(K20&lt;Inputs!$D$80,K111,0)</f>
        <v>0</v>
      </c>
      <c r="L112" s="17">
        <f>IF(L20&lt;Inputs!$D$80,L111,0)</f>
        <v>0</v>
      </c>
      <c r="M112" s="17">
        <f>IF(M20&lt;Inputs!$D$80,M111,0)</f>
        <v>0</v>
      </c>
      <c r="N112" s="17">
        <f>IF(N20&lt;Inputs!$D$80,N111,0)</f>
        <v>0</v>
      </c>
      <c r="O112" s="17">
        <f>IF(O20&lt;Inputs!$D$80,O111,0)</f>
        <v>0</v>
      </c>
      <c r="P112" s="17">
        <f>IF(P20&lt;Inputs!$D$80,P111,0)</f>
        <v>0</v>
      </c>
      <c r="Q112" s="17">
        <f>IF(Q20&lt;Inputs!$D$80,Q111,0)</f>
        <v>0</v>
      </c>
      <c r="R112" s="17">
        <f>IF(R20&lt;Inputs!$D$80,R111,0)</f>
        <v>0</v>
      </c>
      <c r="S112" s="17">
        <f>IF(S20&lt;Inputs!$D$80,S111,0)</f>
        <v>0</v>
      </c>
      <c r="T112" s="17">
        <f>IF(T20&lt;Inputs!$D$80,T111,0)</f>
        <v>0</v>
      </c>
      <c r="U112" s="17">
        <f>IF(U20&lt;Inputs!$D$80,U111,0)</f>
        <v>0</v>
      </c>
      <c r="V112" s="17">
        <f>IF(V20&lt;Inputs!$D$80,V111,0)</f>
        <v>0</v>
      </c>
      <c r="W112" s="17">
        <f>IF(W20&lt;Inputs!$D$80,W111,0)</f>
        <v>0</v>
      </c>
      <c r="X112" s="17">
        <f>IF(X20&lt;Inputs!$D$80,X111,0)</f>
        <v>0</v>
      </c>
      <c r="Y112" s="17">
        <f>IF(Y20&lt;Inputs!$D$80,Y111,0)</f>
        <v>0</v>
      </c>
      <c r="Z112" s="17">
        <f>IF(Z20&lt;Inputs!$D$80,Z111,0)</f>
        <v>0</v>
      </c>
    </row>
    <row r="113" spans="2:26" ht="16.5" thickBot="1" x14ac:dyDescent="0.3">
      <c r="B113" s="59" t="s">
        <v>56</v>
      </c>
      <c r="C113" s="60"/>
      <c r="D113" s="61" t="e">
        <f>IRR(D112:Z112)</f>
        <v>#NUM!</v>
      </c>
      <c r="E113" s="62"/>
    </row>
    <row r="114" spans="2:26" x14ac:dyDescent="0.25">
      <c r="B114" s="63"/>
    </row>
    <row r="115" spans="2:26" x14ac:dyDescent="0.25">
      <c r="B115" s="54" t="s">
        <v>57</v>
      </c>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2:26" x14ac:dyDescent="0.25">
      <c r="B116" s="27" t="s">
        <v>58</v>
      </c>
      <c r="D116" s="17">
        <f>IF(D19=Inputs!$D$6,$D$13,0)</f>
        <v>0</v>
      </c>
      <c r="E116" s="17">
        <f>IF(E19=Inputs!$D$6,$D$13,0)</f>
        <v>0</v>
      </c>
      <c r="F116" s="17">
        <f>IF(F19=Inputs!$D$6,$D$13,0)</f>
        <v>0</v>
      </c>
      <c r="G116" s="17">
        <f>IF(G19=Inputs!$D$6,$D$13,0)</f>
        <v>0</v>
      </c>
      <c r="H116" s="17">
        <f>IF(H19=Inputs!$D$6,$D$13,0)</f>
        <v>0</v>
      </c>
      <c r="I116" s="17">
        <f>IF(I19=Inputs!$D$6,$D$13,0)</f>
        <v>0</v>
      </c>
      <c r="J116" s="17">
        <f>IF(J19=Inputs!$D$6,$D$13,0)</f>
        <v>0</v>
      </c>
      <c r="K116" s="17">
        <f>IF(K19=Inputs!$D$6,$D$13,0)</f>
        <v>0</v>
      </c>
      <c r="L116" s="17">
        <f>IF(L19=Inputs!$D$6,$D$13,0)</f>
        <v>0</v>
      </c>
      <c r="M116" s="17">
        <f>IF(M19=Inputs!$D$6,$D$13,0)</f>
        <v>0</v>
      </c>
      <c r="N116" s="17">
        <f>IF(N19=Inputs!$D$6,$D$13,0)</f>
        <v>0</v>
      </c>
      <c r="O116" s="17">
        <f>IF(O19=Inputs!$D$6,$D$13,0)</f>
        <v>0</v>
      </c>
      <c r="P116" s="17">
        <f>IF(P19=Inputs!$D$6,$D$13,0)</f>
        <v>0</v>
      </c>
      <c r="Q116" s="17">
        <f>IF(Q19=Inputs!$D$6,$D$13,0)</f>
        <v>0</v>
      </c>
      <c r="R116" s="17">
        <f>IF(R19=Inputs!$D$6,$D$13,0)</f>
        <v>0</v>
      </c>
      <c r="S116" s="17">
        <f>IF(S19=Inputs!$D$6,$D$13,0)</f>
        <v>0</v>
      </c>
      <c r="T116" s="17">
        <f>IF(T19=Inputs!$D$6,$D$13,0)</f>
        <v>0</v>
      </c>
      <c r="U116" s="17">
        <f>IF(U19=Inputs!$D$6,$D$13,0)</f>
        <v>0</v>
      </c>
      <c r="V116" s="17">
        <f>IF(V19=Inputs!$D$6,$D$13,0)</f>
        <v>0</v>
      </c>
      <c r="W116" s="17">
        <f>IF(W19=Inputs!$D$6,$D$13,0)</f>
        <v>0</v>
      </c>
      <c r="X116" s="17">
        <f>IF(X19=Inputs!$D$6,$D$13,0)</f>
        <v>0</v>
      </c>
      <c r="Y116" s="17">
        <f>IF(Y19=Inputs!$D$6,$D$13,0)</f>
        <v>0</v>
      </c>
      <c r="Z116" s="17">
        <f>IF(Z19=Inputs!$D$6,$D$13,0)</f>
        <v>0</v>
      </c>
    </row>
    <row r="117" spans="2:26" x14ac:dyDescent="0.25">
      <c r="B117" s="53" t="s">
        <v>50</v>
      </c>
      <c r="D117" s="17">
        <f>IF(AND(D20&gt;0,D20&lt;=Inputs!$D$10),SUM($D$116:D116)/Inputs!$D$10,0)</f>
        <v>0</v>
      </c>
      <c r="E117" s="17">
        <f>IF(AND(E20&gt;0,E20&lt;=Inputs!$D$10),SUM($D$116:E116)/Inputs!$D$10,0)</f>
        <v>0</v>
      </c>
      <c r="F117" s="17">
        <f>IF(AND(F20&gt;0,F20&lt;=Inputs!$D$10),SUM($D$116:F116)/Inputs!$D$10,0)</f>
        <v>0</v>
      </c>
      <c r="G117" s="17">
        <f>IF(AND(G20&gt;0,G20&lt;=Inputs!$D$10),SUM($D$116:G116)/Inputs!$D$10,0)</f>
        <v>0</v>
      </c>
      <c r="H117" s="17">
        <f>IF(AND(H20&gt;0,H20&lt;=Inputs!$D$10),SUM($D$116:H116)/Inputs!$D$10,0)</f>
        <v>0</v>
      </c>
      <c r="I117" s="17">
        <f>IF(AND(I20&gt;0,I20&lt;=Inputs!$D$10),SUM($D$116:I116)/Inputs!$D$10,0)</f>
        <v>0</v>
      </c>
      <c r="J117" s="17">
        <f>IF(AND(J20&gt;0,J20&lt;=Inputs!$D$10),SUM($D$116:J116)/Inputs!$D$10,0)</f>
        <v>0</v>
      </c>
      <c r="K117" s="17">
        <f>IF(AND(K20&gt;0,K20&lt;=Inputs!$D$10),SUM($D$116:K116)/Inputs!$D$10,0)</f>
        <v>0</v>
      </c>
      <c r="L117" s="17">
        <f>IF(AND(L20&gt;0,L20&lt;=Inputs!$D$10),SUM($D$116:L116)/Inputs!$D$10,0)</f>
        <v>0</v>
      </c>
      <c r="M117" s="17">
        <f>IF(AND(M20&gt;0,M20&lt;=Inputs!$D$10),SUM($D$116:M116)/Inputs!$D$10,0)</f>
        <v>0</v>
      </c>
      <c r="N117" s="17">
        <f>IF(AND(N20&gt;0,N20&lt;=Inputs!$D$10),SUM($D$116:N116)/Inputs!$D$10,0)</f>
        <v>0</v>
      </c>
      <c r="O117" s="17">
        <f>IF(AND(O20&gt;0,O20&lt;=Inputs!$D$10),SUM($D$116:O116)/Inputs!$D$10,0)</f>
        <v>0</v>
      </c>
      <c r="P117" s="17">
        <f>IF(AND(P20&gt;0,P20&lt;=Inputs!$D$10),SUM($D$116:P116)/Inputs!$D$10,0)</f>
        <v>0</v>
      </c>
      <c r="Q117" s="17">
        <f>IF(AND(Q20&gt;0,Q20&lt;=Inputs!$D$10),SUM($D$116:Q116)/Inputs!$D$10,0)</f>
        <v>0</v>
      </c>
      <c r="R117" s="17">
        <f>IF(AND(R20&gt;0,R20&lt;=Inputs!$D$10),SUM($D$116:R116)/Inputs!$D$10,0)</f>
        <v>0</v>
      </c>
      <c r="S117" s="17">
        <f>IF(AND(S20&gt;0,S20&lt;=Inputs!$D$10),SUM($D$116:S116)/Inputs!$D$10,0)</f>
        <v>0</v>
      </c>
      <c r="T117" s="17">
        <f>IF(AND(T20&gt;0,T20&lt;=Inputs!$D$10),SUM($D$116:T116)/Inputs!$D$10,0)</f>
        <v>0</v>
      </c>
      <c r="U117" s="17">
        <f>IF(AND(U20&gt;0,U20&lt;=Inputs!$D$10),SUM($D$116:U116)/Inputs!$D$10,0)</f>
        <v>0</v>
      </c>
      <c r="V117" s="17">
        <f>IF(AND(V20&gt;0,V20&lt;=Inputs!$D$10),SUM($D$116:V116)/Inputs!$D$10,0)</f>
        <v>0</v>
      </c>
      <c r="W117" s="17">
        <f>IF(AND(W20&gt;0,W20&lt;=Inputs!$D$10),SUM($D$116:W116)/Inputs!$D$10,0)</f>
        <v>0</v>
      </c>
      <c r="X117" s="17">
        <f>IF(AND(X20&gt;0,X20&lt;=Inputs!$D$10),SUM($D$116:X116)/Inputs!$D$10,0)</f>
        <v>0</v>
      </c>
      <c r="Y117" s="17">
        <f>IF(AND(Y20&gt;0,Y20&lt;=Inputs!$D$10),SUM($D$116:Y116)/Inputs!$D$10,0)</f>
        <v>0</v>
      </c>
      <c r="Z117" s="17">
        <f>IF(AND(Z20&gt;0,Z20&lt;=Inputs!$D$10),SUM($D$116:Z116)/Inputs!$D$10,0)</f>
        <v>0</v>
      </c>
    </row>
    <row r="120" spans="2:26" x14ac:dyDescent="0.25">
      <c r="B120" s="117" t="s">
        <v>55</v>
      </c>
      <c r="C120" s="104"/>
      <c r="D120" s="116">
        <f t="shared" ref="D120:Z120" si="31">D20</f>
        <v>1</v>
      </c>
      <c r="E120" s="116">
        <f t="shared" si="31"/>
        <v>2</v>
      </c>
      <c r="F120" s="116">
        <f t="shared" si="31"/>
        <v>3</v>
      </c>
      <c r="G120" s="116">
        <f t="shared" si="31"/>
        <v>4</v>
      </c>
      <c r="H120" s="116">
        <f t="shared" si="31"/>
        <v>5</v>
      </c>
      <c r="I120" s="116">
        <f t="shared" si="31"/>
        <v>6</v>
      </c>
      <c r="J120" s="116">
        <f t="shared" si="31"/>
        <v>7</v>
      </c>
      <c r="K120" s="116">
        <f t="shared" si="31"/>
        <v>8</v>
      </c>
      <c r="L120" s="116">
        <f t="shared" si="31"/>
        <v>9</v>
      </c>
      <c r="M120" s="116">
        <f t="shared" si="31"/>
        <v>10</v>
      </c>
      <c r="N120" s="116">
        <f t="shared" si="31"/>
        <v>11</v>
      </c>
      <c r="O120" s="116">
        <f t="shared" si="31"/>
        <v>12</v>
      </c>
      <c r="P120" s="116">
        <f t="shared" si="31"/>
        <v>13</v>
      </c>
      <c r="Q120" s="116">
        <f t="shared" si="31"/>
        <v>14</v>
      </c>
      <c r="R120" s="116">
        <f t="shared" si="31"/>
        <v>15</v>
      </c>
      <c r="S120" s="116">
        <f t="shared" si="31"/>
        <v>16</v>
      </c>
      <c r="T120" s="116">
        <f t="shared" si="31"/>
        <v>17</v>
      </c>
      <c r="U120" s="116">
        <f t="shared" si="31"/>
        <v>18</v>
      </c>
      <c r="V120" s="116">
        <f t="shared" si="31"/>
        <v>19</v>
      </c>
      <c r="W120" s="116">
        <f t="shared" si="31"/>
        <v>20</v>
      </c>
      <c r="X120" s="116">
        <f t="shared" si="31"/>
        <v>21</v>
      </c>
      <c r="Y120" s="116">
        <f t="shared" si="31"/>
        <v>22</v>
      </c>
      <c r="Z120" s="190">
        <f t="shared" si="31"/>
        <v>23</v>
      </c>
    </row>
    <row r="121" spans="2:26" x14ac:dyDescent="0.25">
      <c r="B121" s="105" t="str">
        <f>IF(Inputs!D2="Metric","Pre-Tax Fully Loaded Cost/Liter","Pre-Tax Fully Loaded Cost/Gallon")</f>
        <v>Pre-Tax Fully Loaded Cost/Gallon</v>
      </c>
      <c r="C121" s="108"/>
      <c r="D121" s="191" t="str">
        <f>IF(D89=0,"",D89)</f>
        <v/>
      </c>
      <c r="E121" s="191" t="str">
        <f t="shared" ref="E121:Z121" si="32">IF(E89=0,"",E89)</f>
        <v/>
      </c>
      <c r="F121" s="191" t="str">
        <f t="shared" si="32"/>
        <v/>
      </c>
      <c r="G121" s="191" t="str">
        <f t="shared" si="32"/>
        <v/>
      </c>
      <c r="H121" s="191" t="str">
        <f t="shared" si="32"/>
        <v/>
      </c>
      <c r="I121" s="191" t="str">
        <f t="shared" si="32"/>
        <v/>
      </c>
      <c r="J121" s="191" t="str">
        <f t="shared" si="32"/>
        <v/>
      </c>
      <c r="K121" s="191" t="str">
        <f t="shared" si="32"/>
        <v/>
      </c>
      <c r="L121" s="191" t="str">
        <f t="shared" si="32"/>
        <v/>
      </c>
      <c r="M121" s="191" t="str">
        <f t="shared" si="32"/>
        <v/>
      </c>
      <c r="N121" s="191" t="str">
        <f t="shared" si="32"/>
        <v/>
      </c>
      <c r="O121" s="191" t="str">
        <f t="shared" si="32"/>
        <v/>
      </c>
      <c r="P121" s="191" t="str">
        <f t="shared" si="32"/>
        <v/>
      </c>
      <c r="Q121" s="191" t="str">
        <f t="shared" si="32"/>
        <v/>
      </c>
      <c r="R121" s="191" t="str">
        <f t="shared" si="32"/>
        <v/>
      </c>
      <c r="S121" s="191" t="str">
        <f t="shared" si="32"/>
        <v/>
      </c>
      <c r="T121" s="191" t="str">
        <f t="shared" si="32"/>
        <v/>
      </c>
      <c r="U121" s="191" t="str">
        <f t="shared" si="32"/>
        <v/>
      </c>
      <c r="V121" s="191" t="str">
        <f t="shared" si="32"/>
        <v/>
      </c>
      <c r="W121" s="191" t="str">
        <f t="shared" si="32"/>
        <v/>
      </c>
      <c r="X121" s="191" t="str">
        <f t="shared" si="32"/>
        <v/>
      </c>
      <c r="Y121" s="191" t="str">
        <f t="shared" si="32"/>
        <v/>
      </c>
      <c r="Z121" s="107" t="str">
        <f t="shared" si="32"/>
        <v/>
      </c>
    </row>
    <row r="122" spans="2:26" x14ac:dyDescent="0.25">
      <c r="B122" s="105" t="s">
        <v>34</v>
      </c>
      <c r="C122" s="108"/>
      <c r="D122" s="191" t="str">
        <f>IF(D90=0,"",D90)</f>
        <v/>
      </c>
      <c r="E122" s="191" t="str">
        <f t="shared" ref="E122:Z122" si="33">IF(E90=0,"",E90)</f>
        <v/>
      </c>
      <c r="F122" s="191" t="str">
        <f t="shared" si="33"/>
        <v/>
      </c>
      <c r="G122" s="191" t="str">
        <f t="shared" si="33"/>
        <v/>
      </c>
      <c r="H122" s="191" t="str">
        <f t="shared" si="33"/>
        <v/>
      </c>
      <c r="I122" s="191" t="str">
        <f t="shared" si="33"/>
        <v/>
      </c>
      <c r="J122" s="191" t="str">
        <f t="shared" si="33"/>
        <v/>
      </c>
      <c r="K122" s="191" t="str">
        <f t="shared" si="33"/>
        <v/>
      </c>
      <c r="L122" s="191" t="str">
        <f t="shared" si="33"/>
        <v/>
      </c>
      <c r="M122" s="191" t="str">
        <f t="shared" si="33"/>
        <v/>
      </c>
      <c r="N122" s="191" t="str">
        <f t="shared" si="33"/>
        <v/>
      </c>
      <c r="O122" s="191" t="str">
        <f t="shared" si="33"/>
        <v/>
      </c>
      <c r="P122" s="191" t="str">
        <f t="shared" si="33"/>
        <v/>
      </c>
      <c r="Q122" s="191" t="str">
        <f t="shared" si="33"/>
        <v/>
      </c>
      <c r="R122" s="191" t="str">
        <f t="shared" si="33"/>
        <v/>
      </c>
      <c r="S122" s="191" t="str">
        <f t="shared" si="33"/>
        <v/>
      </c>
      <c r="T122" s="191" t="str">
        <f t="shared" si="33"/>
        <v/>
      </c>
      <c r="U122" s="191" t="str">
        <f t="shared" si="33"/>
        <v/>
      </c>
      <c r="V122" s="191" t="str">
        <f t="shared" si="33"/>
        <v/>
      </c>
      <c r="W122" s="191" t="str">
        <f t="shared" si="33"/>
        <v/>
      </c>
      <c r="X122" s="191" t="str">
        <f t="shared" si="33"/>
        <v/>
      </c>
      <c r="Y122" s="191" t="str">
        <f t="shared" si="33"/>
        <v/>
      </c>
      <c r="Z122" s="107" t="str">
        <f t="shared" si="33"/>
        <v/>
      </c>
    </row>
    <row r="123" spans="2:26" x14ac:dyDescent="0.25">
      <c r="B123" s="106" t="s">
        <v>153</v>
      </c>
      <c r="C123" s="109"/>
      <c r="D123" s="191" t="str">
        <f>IF(D66=0,"",D66)</f>
        <v/>
      </c>
      <c r="E123" s="191" t="str">
        <f t="shared" ref="E123:Z123" si="34">IF(E66=0,"",E66)</f>
        <v/>
      </c>
      <c r="F123" s="191" t="str">
        <f t="shared" si="34"/>
        <v/>
      </c>
      <c r="G123" s="191" t="str">
        <f t="shared" si="34"/>
        <v/>
      </c>
      <c r="H123" s="191" t="str">
        <f t="shared" si="34"/>
        <v/>
      </c>
      <c r="I123" s="191" t="str">
        <f t="shared" si="34"/>
        <v/>
      </c>
      <c r="J123" s="191" t="str">
        <f t="shared" si="34"/>
        <v/>
      </c>
      <c r="K123" s="191" t="str">
        <f t="shared" si="34"/>
        <v/>
      </c>
      <c r="L123" s="191" t="str">
        <f t="shared" si="34"/>
        <v/>
      </c>
      <c r="M123" s="191" t="str">
        <f t="shared" si="34"/>
        <v/>
      </c>
      <c r="N123" s="191" t="str">
        <f t="shared" si="34"/>
        <v/>
      </c>
      <c r="O123" s="191" t="str">
        <f t="shared" si="34"/>
        <v/>
      </c>
      <c r="P123" s="191" t="str">
        <f t="shared" si="34"/>
        <v/>
      </c>
      <c r="Q123" s="191" t="str">
        <f t="shared" si="34"/>
        <v/>
      </c>
      <c r="R123" s="191" t="str">
        <f t="shared" si="34"/>
        <v/>
      </c>
      <c r="S123" s="191" t="str">
        <f t="shared" si="34"/>
        <v/>
      </c>
      <c r="T123" s="191" t="str">
        <f t="shared" si="34"/>
        <v/>
      </c>
      <c r="U123" s="191" t="str">
        <f t="shared" si="34"/>
        <v/>
      </c>
      <c r="V123" s="191" t="str">
        <f t="shared" si="34"/>
        <v/>
      </c>
      <c r="W123" s="191" t="str">
        <f t="shared" si="34"/>
        <v/>
      </c>
      <c r="X123" s="191" t="str">
        <f t="shared" si="34"/>
        <v/>
      </c>
      <c r="Y123" s="191" t="str">
        <f t="shared" si="34"/>
        <v/>
      </c>
      <c r="Z123" s="107" t="str">
        <f t="shared" si="34"/>
        <v/>
      </c>
    </row>
    <row r="124" spans="2:26" ht="17.100000000000001" customHeight="1" x14ac:dyDescent="0.25">
      <c r="B124" s="105" t="s">
        <v>37</v>
      </c>
      <c r="C124" s="109"/>
      <c r="D124" s="191" t="str">
        <f>IF(D67=0,"",D67)</f>
        <v/>
      </c>
      <c r="E124" s="191" t="str">
        <f>IF(E67=0,"",E67)</f>
        <v/>
      </c>
      <c r="F124" s="191" t="str">
        <f t="shared" ref="F124:Z124" si="35">IF(F67=0,"",F67)</f>
        <v/>
      </c>
      <c r="G124" s="191" t="str">
        <f t="shared" si="35"/>
        <v/>
      </c>
      <c r="H124" s="191" t="str">
        <f t="shared" si="35"/>
        <v/>
      </c>
      <c r="I124" s="191" t="str">
        <f t="shared" si="35"/>
        <v/>
      </c>
      <c r="J124" s="191" t="str">
        <f t="shared" si="35"/>
        <v/>
      </c>
      <c r="K124" s="191" t="str">
        <f t="shared" si="35"/>
        <v/>
      </c>
      <c r="L124" s="191" t="str">
        <f t="shared" si="35"/>
        <v/>
      </c>
      <c r="M124" s="191" t="str">
        <f t="shared" si="35"/>
        <v/>
      </c>
      <c r="N124" s="191" t="str">
        <f t="shared" si="35"/>
        <v/>
      </c>
      <c r="O124" s="191" t="str">
        <f t="shared" si="35"/>
        <v/>
      </c>
      <c r="P124" s="191" t="str">
        <f t="shared" si="35"/>
        <v/>
      </c>
      <c r="Q124" s="191" t="str">
        <f t="shared" si="35"/>
        <v/>
      </c>
      <c r="R124" s="191" t="str">
        <f t="shared" si="35"/>
        <v/>
      </c>
      <c r="S124" s="191" t="str">
        <f t="shared" si="35"/>
        <v/>
      </c>
      <c r="T124" s="191" t="str">
        <f t="shared" si="35"/>
        <v/>
      </c>
      <c r="U124" s="191" t="str">
        <f t="shared" si="35"/>
        <v/>
      </c>
      <c r="V124" s="191" t="str">
        <f t="shared" si="35"/>
        <v/>
      </c>
      <c r="W124" s="191" t="str">
        <f t="shared" si="35"/>
        <v/>
      </c>
      <c r="X124" s="191" t="str">
        <f t="shared" si="35"/>
        <v/>
      </c>
      <c r="Y124" s="191" t="str">
        <f t="shared" si="35"/>
        <v/>
      </c>
      <c r="Z124" s="107" t="str">
        <f t="shared" si="35"/>
        <v/>
      </c>
    </row>
    <row r="125" spans="2:26" x14ac:dyDescent="0.25">
      <c r="B125" s="106" t="s">
        <v>191</v>
      </c>
      <c r="C125" s="109"/>
      <c r="D125" s="191" t="str">
        <f>IF(D68=0,"",D68)</f>
        <v/>
      </c>
      <c r="E125" s="191" t="str">
        <f t="shared" ref="E125:Z125" si="36">IF(E68=0,"",E68)</f>
        <v/>
      </c>
      <c r="F125" s="191" t="str">
        <f t="shared" si="36"/>
        <v/>
      </c>
      <c r="G125" s="191" t="str">
        <f t="shared" si="36"/>
        <v/>
      </c>
      <c r="H125" s="191" t="str">
        <f t="shared" si="36"/>
        <v/>
      </c>
      <c r="I125" s="191" t="str">
        <f t="shared" si="36"/>
        <v/>
      </c>
      <c r="J125" s="191" t="str">
        <f t="shared" si="36"/>
        <v/>
      </c>
      <c r="K125" s="191" t="str">
        <f t="shared" si="36"/>
        <v/>
      </c>
      <c r="L125" s="191" t="str">
        <f t="shared" si="36"/>
        <v/>
      </c>
      <c r="M125" s="191" t="str">
        <f t="shared" si="36"/>
        <v/>
      </c>
      <c r="N125" s="191" t="str">
        <f t="shared" si="36"/>
        <v/>
      </c>
      <c r="O125" s="191" t="str">
        <f t="shared" si="36"/>
        <v/>
      </c>
      <c r="P125" s="191" t="str">
        <f t="shared" si="36"/>
        <v/>
      </c>
      <c r="Q125" s="191" t="str">
        <f t="shared" si="36"/>
        <v/>
      </c>
      <c r="R125" s="191" t="str">
        <f t="shared" si="36"/>
        <v/>
      </c>
      <c r="S125" s="191" t="str">
        <f t="shared" si="36"/>
        <v/>
      </c>
      <c r="T125" s="191" t="str">
        <f t="shared" si="36"/>
        <v/>
      </c>
      <c r="U125" s="191" t="str">
        <f t="shared" si="36"/>
        <v/>
      </c>
      <c r="V125" s="191" t="str">
        <f t="shared" si="36"/>
        <v/>
      </c>
      <c r="W125" s="191" t="str">
        <f t="shared" si="36"/>
        <v/>
      </c>
      <c r="X125" s="191" t="str">
        <f t="shared" si="36"/>
        <v/>
      </c>
      <c r="Y125" s="191" t="str">
        <f t="shared" si="36"/>
        <v/>
      </c>
      <c r="Z125" s="107" t="str">
        <f t="shared" si="36"/>
        <v/>
      </c>
    </row>
    <row r="126" spans="2:26" x14ac:dyDescent="0.25">
      <c r="B126" s="106" t="s">
        <v>196</v>
      </c>
      <c r="C126" s="109"/>
      <c r="D126" s="191" t="str">
        <f>IF(D69=0,"",D69)</f>
        <v/>
      </c>
      <c r="E126" s="191" t="str">
        <f t="shared" ref="E126:Z126" si="37">IF(E69=0,"",E69)</f>
        <v/>
      </c>
      <c r="F126" s="191" t="str">
        <f t="shared" si="37"/>
        <v/>
      </c>
      <c r="G126" s="191" t="str">
        <f t="shared" si="37"/>
        <v/>
      </c>
      <c r="H126" s="191" t="str">
        <f t="shared" si="37"/>
        <v/>
      </c>
      <c r="I126" s="191" t="str">
        <f t="shared" si="37"/>
        <v/>
      </c>
      <c r="J126" s="191" t="str">
        <f t="shared" si="37"/>
        <v/>
      </c>
      <c r="K126" s="191" t="str">
        <f t="shared" si="37"/>
        <v/>
      </c>
      <c r="L126" s="191" t="str">
        <f t="shared" si="37"/>
        <v/>
      </c>
      <c r="M126" s="191" t="str">
        <f t="shared" si="37"/>
        <v/>
      </c>
      <c r="N126" s="191" t="str">
        <f t="shared" si="37"/>
        <v/>
      </c>
      <c r="O126" s="191" t="str">
        <f t="shared" si="37"/>
        <v/>
      </c>
      <c r="P126" s="191" t="str">
        <f t="shared" si="37"/>
        <v/>
      </c>
      <c r="Q126" s="191" t="str">
        <f t="shared" si="37"/>
        <v/>
      </c>
      <c r="R126" s="191" t="str">
        <f t="shared" si="37"/>
        <v/>
      </c>
      <c r="S126" s="191" t="str">
        <f t="shared" si="37"/>
        <v/>
      </c>
      <c r="T126" s="191" t="str">
        <f t="shared" si="37"/>
        <v/>
      </c>
      <c r="U126" s="191" t="str">
        <f t="shared" si="37"/>
        <v/>
      </c>
      <c r="V126" s="191" t="str">
        <f t="shared" si="37"/>
        <v/>
      </c>
      <c r="W126" s="191" t="str">
        <f t="shared" si="37"/>
        <v/>
      </c>
      <c r="X126" s="191" t="str">
        <f t="shared" si="37"/>
        <v/>
      </c>
      <c r="Y126" s="191" t="str">
        <f t="shared" si="37"/>
        <v/>
      </c>
      <c r="Z126" s="107" t="str">
        <f t="shared" si="37"/>
        <v/>
      </c>
    </row>
    <row r="127" spans="2:26" x14ac:dyDescent="0.25">
      <c r="B127" s="106" t="s">
        <v>35</v>
      </c>
      <c r="C127" s="109"/>
      <c r="D127" s="191" t="str">
        <f t="shared" ref="D127:Z127" si="38">IF(D85=0,"",D85)</f>
        <v/>
      </c>
      <c r="E127" s="191" t="str">
        <f t="shared" si="38"/>
        <v/>
      </c>
      <c r="F127" s="191" t="str">
        <f t="shared" si="38"/>
        <v/>
      </c>
      <c r="G127" s="191" t="str">
        <f t="shared" si="38"/>
        <v/>
      </c>
      <c r="H127" s="191" t="str">
        <f t="shared" si="38"/>
        <v/>
      </c>
      <c r="I127" s="191" t="str">
        <f t="shared" si="38"/>
        <v/>
      </c>
      <c r="J127" s="191" t="str">
        <f t="shared" si="38"/>
        <v/>
      </c>
      <c r="K127" s="191" t="str">
        <f t="shared" si="38"/>
        <v/>
      </c>
      <c r="L127" s="191" t="str">
        <f t="shared" si="38"/>
        <v/>
      </c>
      <c r="M127" s="191" t="str">
        <f t="shared" si="38"/>
        <v/>
      </c>
      <c r="N127" s="191" t="str">
        <f t="shared" si="38"/>
        <v/>
      </c>
      <c r="O127" s="191" t="str">
        <f t="shared" si="38"/>
        <v/>
      </c>
      <c r="P127" s="191" t="str">
        <f t="shared" si="38"/>
        <v/>
      </c>
      <c r="Q127" s="191" t="str">
        <f t="shared" si="38"/>
        <v/>
      </c>
      <c r="R127" s="191" t="str">
        <f t="shared" si="38"/>
        <v/>
      </c>
      <c r="S127" s="191" t="str">
        <f t="shared" si="38"/>
        <v/>
      </c>
      <c r="T127" s="191" t="str">
        <f t="shared" si="38"/>
        <v/>
      </c>
      <c r="U127" s="191" t="str">
        <f t="shared" si="38"/>
        <v/>
      </c>
      <c r="V127" s="191" t="str">
        <f t="shared" si="38"/>
        <v/>
      </c>
      <c r="W127" s="191" t="str">
        <f t="shared" si="38"/>
        <v/>
      </c>
      <c r="X127" s="191" t="str">
        <f t="shared" si="38"/>
        <v/>
      </c>
      <c r="Y127" s="191" t="str">
        <f t="shared" si="38"/>
        <v/>
      </c>
      <c r="Z127" s="107" t="str">
        <f t="shared" si="38"/>
        <v/>
      </c>
    </row>
    <row r="128" spans="2:26" x14ac:dyDescent="0.25">
      <c r="B128" s="106" t="s">
        <v>36</v>
      </c>
      <c r="C128" s="109"/>
      <c r="D128" s="191" t="str">
        <f t="shared" ref="D128:Z128" si="39">IF(D87=0,"",D87)</f>
        <v/>
      </c>
      <c r="E128" s="191" t="str">
        <f t="shared" si="39"/>
        <v/>
      </c>
      <c r="F128" s="191" t="str">
        <f t="shared" si="39"/>
        <v/>
      </c>
      <c r="G128" s="191" t="str">
        <f t="shared" si="39"/>
        <v/>
      </c>
      <c r="H128" s="191" t="str">
        <f t="shared" si="39"/>
        <v/>
      </c>
      <c r="I128" s="191" t="str">
        <f t="shared" si="39"/>
        <v/>
      </c>
      <c r="J128" s="191" t="str">
        <f t="shared" si="39"/>
        <v/>
      </c>
      <c r="K128" s="191" t="str">
        <f t="shared" si="39"/>
        <v/>
      </c>
      <c r="L128" s="191" t="str">
        <f t="shared" si="39"/>
        <v/>
      </c>
      <c r="M128" s="191" t="str">
        <f t="shared" si="39"/>
        <v/>
      </c>
      <c r="N128" s="191" t="str">
        <f t="shared" si="39"/>
        <v/>
      </c>
      <c r="O128" s="191" t="str">
        <f t="shared" si="39"/>
        <v/>
      </c>
      <c r="P128" s="191" t="str">
        <f t="shared" si="39"/>
        <v/>
      </c>
      <c r="Q128" s="191" t="str">
        <f t="shared" si="39"/>
        <v/>
      </c>
      <c r="R128" s="191" t="str">
        <f t="shared" si="39"/>
        <v/>
      </c>
      <c r="S128" s="191" t="str">
        <f t="shared" si="39"/>
        <v/>
      </c>
      <c r="T128" s="191" t="str">
        <f t="shared" si="39"/>
        <v/>
      </c>
      <c r="U128" s="191" t="str">
        <f t="shared" si="39"/>
        <v/>
      </c>
      <c r="V128" s="191" t="str">
        <f t="shared" si="39"/>
        <v/>
      </c>
      <c r="W128" s="191" t="str">
        <f t="shared" si="39"/>
        <v/>
      </c>
      <c r="X128" s="191" t="str">
        <f t="shared" si="39"/>
        <v/>
      </c>
      <c r="Y128" s="191" t="str">
        <f t="shared" si="39"/>
        <v/>
      </c>
      <c r="Z128" s="107" t="str">
        <f t="shared" si="39"/>
        <v/>
      </c>
    </row>
    <row r="129" spans="2:26" x14ac:dyDescent="0.25">
      <c r="B129" s="192" t="s">
        <v>148</v>
      </c>
      <c r="C129" s="27"/>
      <c r="D129" s="193" t="str">
        <f>IF(D36=0,"",D36)</f>
        <v/>
      </c>
      <c r="E129" s="193" t="str">
        <f t="shared" ref="E129:Z129" si="40">IF(E36=0,"",E36)</f>
        <v/>
      </c>
      <c r="F129" s="193" t="str">
        <f t="shared" si="40"/>
        <v/>
      </c>
      <c r="G129" s="193" t="str">
        <f t="shared" si="40"/>
        <v/>
      </c>
      <c r="H129" s="193" t="str">
        <f t="shared" si="40"/>
        <v/>
      </c>
      <c r="I129" s="193" t="str">
        <f t="shared" si="40"/>
        <v/>
      </c>
      <c r="J129" s="193" t="str">
        <f t="shared" si="40"/>
        <v/>
      </c>
      <c r="K129" s="193" t="str">
        <f t="shared" si="40"/>
        <v/>
      </c>
      <c r="L129" s="193" t="str">
        <f t="shared" si="40"/>
        <v/>
      </c>
      <c r="M129" s="193" t="str">
        <f t="shared" si="40"/>
        <v/>
      </c>
      <c r="N129" s="193" t="str">
        <f t="shared" si="40"/>
        <v/>
      </c>
      <c r="O129" s="193" t="str">
        <f t="shared" si="40"/>
        <v/>
      </c>
      <c r="P129" s="193" t="str">
        <f t="shared" si="40"/>
        <v/>
      </c>
      <c r="Q129" s="193" t="str">
        <f t="shared" si="40"/>
        <v/>
      </c>
      <c r="R129" s="193" t="str">
        <f t="shared" si="40"/>
        <v/>
      </c>
      <c r="S129" s="193" t="str">
        <f t="shared" si="40"/>
        <v/>
      </c>
      <c r="T129" s="193" t="str">
        <f t="shared" si="40"/>
        <v/>
      </c>
      <c r="U129" s="193" t="str">
        <f t="shared" si="40"/>
        <v/>
      </c>
      <c r="V129" s="193" t="str">
        <f t="shared" si="40"/>
        <v/>
      </c>
      <c r="W129" s="193" t="str">
        <f t="shared" si="40"/>
        <v/>
      </c>
      <c r="X129" s="193" t="str">
        <f t="shared" si="40"/>
        <v/>
      </c>
      <c r="Y129" s="193" t="str">
        <f t="shared" si="40"/>
        <v/>
      </c>
      <c r="Z129" s="194" t="str">
        <f t="shared" si="40"/>
        <v/>
      </c>
    </row>
    <row r="130" spans="2:26" x14ac:dyDescent="0.25">
      <c r="B130" s="192" t="s">
        <v>149</v>
      </c>
      <c r="C130" s="27"/>
      <c r="D130" s="193" t="str">
        <f>IF(D38=0,"",D38)</f>
        <v/>
      </c>
      <c r="E130" s="193" t="str">
        <f t="shared" ref="E130:Z130" si="41">IF(E38=0,"",E38)</f>
        <v/>
      </c>
      <c r="F130" s="193" t="str">
        <f t="shared" si="41"/>
        <v/>
      </c>
      <c r="G130" s="193" t="str">
        <f t="shared" si="41"/>
        <v/>
      </c>
      <c r="H130" s="193" t="str">
        <f t="shared" si="41"/>
        <v/>
      </c>
      <c r="I130" s="193" t="str">
        <f t="shared" si="41"/>
        <v/>
      </c>
      <c r="J130" s="193" t="str">
        <f t="shared" si="41"/>
        <v/>
      </c>
      <c r="K130" s="193" t="str">
        <f t="shared" si="41"/>
        <v/>
      </c>
      <c r="L130" s="193" t="str">
        <f t="shared" si="41"/>
        <v/>
      </c>
      <c r="M130" s="193" t="str">
        <f t="shared" si="41"/>
        <v/>
      </c>
      <c r="N130" s="193" t="str">
        <f t="shared" si="41"/>
        <v/>
      </c>
      <c r="O130" s="193" t="str">
        <f t="shared" si="41"/>
        <v/>
      </c>
      <c r="P130" s="193" t="str">
        <f t="shared" si="41"/>
        <v/>
      </c>
      <c r="Q130" s="193" t="str">
        <f t="shared" si="41"/>
        <v/>
      </c>
      <c r="R130" s="193" t="str">
        <f t="shared" si="41"/>
        <v/>
      </c>
      <c r="S130" s="193" t="str">
        <f t="shared" si="41"/>
        <v/>
      </c>
      <c r="T130" s="193" t="str">
        <f t="shared" si="41"/>
        <v/>
      </c>
      <c r="U130" s="193" t="str">
        <f t="shared" si="41"/>
        <v/>
      </c>
      <c r="V130" s="193" t="str">
        <f t="shared" si="41"/>
        <v/>
      </c>
      <c r="W130" s="193" t="str">
        <f t="shared" si="41"/>
        <v/>
      </c>
      <c r="X130" s="193" t="str">
        <f t="shared" si="41"/>
        <v/>
      </c>
      <c r="Y130" s="193" t="str">
        <f t="shared" si="41"/>
        <v/>
      </c>
      <c r="Z130" s="194" t="str">
        <f t="shared" si="41"/>
        <v/>
      </c>
    </row>
    <row r="131" spans="2:26" x14ac:dyDescent="0.25">
      <c r="B131" s="192" t="s">
        <v>150</v>
      </c>
      <c r="C131" s="27"/>
      <c r="D131" s="193" t="str">
        <f>IF(D40=0,"",D40)</f>
        <v/>
      </c>
      <c r="E131" s="193" t="str">
        <f t="shared" ref="E131:Z131" si="42">IF(E40=0,"",E40)</f>
        <v/>
      </c>
      <c r="F131" s="193" t="str">
        <f t="shared" si="42"/>
        <v/>
      </c>
      <c r="G131" s="193" t="str">
        <f t="shared" si="42"/>
        <v/>
      </c>
      <c r="H131" s="193" t="str">
        <f t="shared" si="42"/>
        <v/>
      </c>
      <c r="I131" s="193" t="str">
        <f t="shared" si="42"/>
        <v/>
      </c>
      <c r="J131" s="193" t="str">
        <f t="shared" si="42"/>
        <v/>
      </c>
      <c r="K131" s="193" t="str">
        <f t="shared" si="42"/>
        <v/>
      </c>
      <c r="L131" s="193" t="str">
        <f t="shared" si="42"/>
        <v/>
      </c>
      <c r="M131" s="193" t="str">
        <f t="shared" si="42"/>
        <v/>
      </c>
      <c r="N131" s="193" t="str">
        <f t="shared" si="42"/>
        <v/>
      </c>
      <c r="O131" s="193" t="str">
        <f t="shared" si="42"/>
        <v/>
      </c>
      <c r="P131" s="193" t="str">
        <f t="shared" si="42"/>
        <v/>
      </c>
      <c r="Q131" s="193" t="str">
        <f t="shared" si="42"/>
        <v/>
      </c>
      <c r="R131" s="193" t="str">
        <f t="shared" si="42"/>
        <v/>
      </c>
      <c r="S131" s="193" t="str">
        <f t="shared" si="42"/>
        <v/>
      </c>
      <c r="T131" s="193" t="str">
        <f t="shared" si="42"/>
        <v/>
      </c>
      <c r="U131" s="193" t="str">
        <f t="shared" si="42"/>
        <v/>
      </c>
      <c r="V131" s="193" t="str">
        <f t="shared" si="42"/>
        <v/>
      </c>
      <c r="W131" s="193" t="str">
        <f t="shared" si="42"/>
        <v/>
      </c>
      <c r="X131" s="193" t="str">
        <f t="shared" si="42"/>
        <v/>
      </c>
      <c r="Y131" s="193" t="str">
        <f t="shared" si="42"/>
        <v/>
      </c>
      <c r="Z131" s="194" t="str">
        <f t="shared" si="42"/>
        <v/>
      </c>
    </row>
    <row r="132" spans="2:26" x14ac:dyDescent="0.25">
      <c r="B132" s="192" t="s">
        <v>151</v>
      </c>
      <c r="C132" s="27"/>
      <c r="D132" s="193" t="str">
        <f>IF(D42=0,"",D42)</f>
        <v/>
      </c>
      <c r="E132" s="193" t="str">
        <f t="shared" ref="E132:Z132" si="43">IF(E42=0,"",E42)</f>
        <v/>
      </c>
      <c r="F132" s="193" t="str">
        <f t="shared" si="43"/>
        <v/>
      </c>
      <c r="G132" s="193" t="str">
        <f t="shared" si="43"/>
        <v/>
      </c>
      <c r="H132" s="193" t="str">
        <f t="shared" si="43"/>
        <v/>
      </c>
      <c r="I132" s="193" t="str">
        <f t="shared" si="43"/>
        <v/>
      </c>
      <c r="J132" s="193" t="str">
        <f t="shared" si="43"/>
        <v/>
      </c>
      <c r="K132" s="193" t="str">
        <f t="shared" si="43"/>
        <v/>
      </c>
      <c r="L132" s="193" t="str">
        <f t="shared" si="43"/>
        <v/>
      </c>
      <c r="M132" s="193" t="str">
        <f t="shared" si="43"/>
        <v/>
      </c>
      <c r="N132" s="193" t="str">
        <f t="shared" si="43"/>
        <v/>
      </c>
      <c r="O132" s="193" t="str">
        <f t="shared" si="43"/>
        <v/>
      </c>
      <c r="P132" s="193" t="str">
        <f t="shared" si="43"/>
        <v/>
      </c>
      <c r="Q132" s="193" t="str">
        <f t="shared" si="43"/>
        <v/>
      </c>
      <c r="R132" s="193" t="str">
        <f t="shared" si="43"/>
        <v/>
      </c>
      <c r="S132" s="193" t="str">
        <f t="shared" si="43"/>
        <v/>
      </c>
      <c r="T132" s="193" t="str">
        <f t="shared" si="43"/>
        <v/>
      </c>
      <c r="U132" s="193" t="str">
        <f t="shared" si="43"/>
        <v/>
      </c>
      <c r="V132" s="193" t="str">
        <f t="shared" si="43"/>
        <v/>
      </c>
      <c r="W132" s="193" t="str">
        <f t="shared" si="43"/>
        <v/>
      </c>
      <c r="X132" s="193" t="str">
        <f t="shared" si="43"/>
        <v/>
      </c>
      <c r="Y132" s="193" t="str">
        <f t="shared" si="43"/>
        <v/>
      </c>
      <c r="Z132" s="194" t="str">
        <f t="shared" si="43"/>
        <v/>
      </c>
    </row>
    <row r="133" spans="2:26" x14ac:dyDescent="0.25">
      <c r="B133" s="192" t="s">
        <v>152</v>
      </c>
      <c r="C133" s="27"/>
      <c r="D133" s="193" t="str">
        <f>IF(SUM(D129:D132)=0,"",SUM(D129:D132))</f>
        <v/>
      </c>
      <c r="E133" s="193" t="str">
        <f t="shared" ref="E133:Z133" si="44">IF(SUM(E129:E132)=0,"",SUM(E129:E132))</f>
        <v/>
      </c>
      <c r="F133" s="193" t="str">
        <f t="shared" si="44"/>
        <v/>
      </c>
      <c r="G133" s="193" t="str">
        <f t="shared" si="44"/>
        <v/>
      </c>
      <c r="H133" s="193" t="str">
        <f t="shared" si="44"/>
        <v/>
      </c>
      <c r="I133" s="193" t="str">
        <f t="shared" si="44"/>
        <v/>
      </c>
      <c r="J133" s="193" t="str">
        <f t="shared" si="44"/>
        <v/>
      </c>
      <c r="K133" s="193" t="str">
        <f t="shared" si="44"/>
        <v/>
      </c>
      <c r="L133" s="193" t="str">
        <f t="shared" si="44"/>
        <v/>
      </c>
      <c r="M133" s="193" t="str">
        <f t="shared" si="44"/>
        <v/>
      </c>
      <c r="N133" s="193" t="str">
        <f t="shared" si="44"/>
        <v/>
      </c>
      <c r="O133" s="193" t="str">
        <f t="shared" si="44"/>
        <v/>
      </c>
      <c r="P133" s="193" t="str">
        <f t="shared" si="44"/>
        <v/>
      </c>
      <c r="Q133" s="193" t="str">
        <f t="shared" si="44"/>
        <v/>
      </c>
      <c r="R133" s="193" t="str">
        <f t="shared" si="44"/>
        <v/>
      </c>
      <c r="S133" s="193" t="str">
        <f t="shared" si="44"/>
        <v/>
      </c>
      <c r="T133" s="193" t="str">
        <f t="shared" si="44"/>
        <v/>
      </c>
      <c r="U133" s="193" t="str">
        <f t="shared" si="44"/>
        <v/>
      </c>
      <c r="V133" s="193" t="str">
        <f t="shared" si="44"/>
        <v/>
      </c>
      <c r="W133" s="193" t="str">
        <f t="shared" si="44"/>
        <v/>
      </c>
      <c r="X133" s="193" t="str">
        <f t="shared" si="44"/>
        <v/>
      </c>
      <c r="Y133" s="193" t="str">
        <f t="shared" si="44"/>
        <v/>
      </c>
      <c r="Z133" s="194" t="str">
        <f t="shared" si="44"/>
        <v/>
      </c>
    </row>
    <row r="134" spans="2:26" x14ac:dyDescent="0.25">
      <c r="B134" s="195" t="s">
        <v>192</v>
      </c>
      <c r="C134" s="110"/>
      <c r="D134" s="118" t="str">
        <f>IF(D23+D24-D28=0,"",D23+D24-D28)</f>
        <v/>
      </c>
      <c r="E134" s="118" t="str">
        <f t="shared" ref="E134:Z134" si="45">IF(E23+E24-E28=0,"",E23+E24-E28)</f>
        <v/>
      </c>
      <c r="F134" s="118" t="str">
        <f t="shared" si="45"/>
        <v/>
      </c>
      <c r="G134" s="118" t="str">
        <f t="shared" si="45"/>
        <v/>
      </c>
      <c r="H134" s="118" t="str">
        <f t="shared" si="45"/>
        <v/>
      </c>
      <c r="I134" s="118" t="str">
        <f t="shared" si="45"/>
        <v/>
      </c>
      <c r="J134" s="118" t="str">
        <f t="shared" si="45"/>
        <v/>
      </c>
      <c r="K134" s="118" t="str">
        <f t="shared" si="45"/>
        <v/>
      </c>
      <c r="L134" s="118" t="str">
        <f t="shared" si="45"/>
        <v/>
      </c>
      <c r="M134" s="118" t="str">
        <f t="shared" si="45"/>
        <v/>
      </c>
      <c r="N134" s="118" t="str">
        <f t="shared" si="45"/>
        <v/>
      </c>
      <c r="O134" s="118" t="str">
        <f t="shared" si="45"/>
        <v/>
      </c>
      <c r="P134" s="118" t="str">
        <f t="shared" si="45"/>
        <v/>
      </c>
      <c r="Q134" s="118" t="str">
        <f t="shared" si="45"/>
        <v/>
      </c>
      <c r="R134" s="118" t="str">
        <f t="shared" si="45"/>
        <v/>
      </c>
      <c r="S134" s="118" t="str">
        <f t="shared" si="45"/>
        <v/>
      </c>
      <c r="T134" s="118" t="str">
        <f t="shared" si="45"/>
        <v/>
      </c>
      <c r="U134" s="118" t="str">
        <f t="shared" si="45"/>
        <v/>
      </c>
      <c r="V134" s="118" t="str">
        <f t="shared" si="45"/>
        <v/>
      </c>
      <c r="W134" s="118" t="str">
        <f t="shared" si="45"/>
        <v/>
      </c>
      <c r="X134" s="118" t="str">
        <f t="shared" si="45"/>
        <v/>
      </c>
      <c r="Y134" s="118" t="str">
        <f t="shared" si="45"/>
        <v/>
      </c>
      <c r="Z134" s="119" t="str">
        <f t="shared" si="45"/>
        <v/>
      </c>
    </row>
  </sheetData>
  <sheetProtection password="E16B" sheet="1" objects="1" scenarios="1"/>
  <phoneticPr fontId="2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8AF6BB37AF6F49B539802DF0BC2BFE" ma:contentTypeVersion="3" ma:contentTypeDescription="Create a new document." ma:contentTypeScope="" ma:versionID="d7d863c94ff3a10fe1e4bac7d3ce2253">
  <xsd:schema xmlns:xsd="http://www.w3.org/2001/XMLSchema" xmlns:xs="http://www.w3.org/2001/XMLSchema" xmlns:p="http://schemas.microsoft.com/office/2006/metadata/properties" xmlns:ns2="b0402069-3699-4f9d-ade4-ee3243299462" targetNamespace="http://schemas.microsoft.com/office/2006/metadata/properties" ma:root="true" ma:fieldsID="59e2bff80cba3396339f55142f64c4b6" ns2:_="">
    <xsd:import namespace="b0402069-3699-4f9d-ade4-ee3243299462"/>
    <xsd:element name="properties">
      <xsd:complexType>
        <xsd:sequence>
          <xsd:element name="documentManagement">
            <xsd:complexType>
              <xsd:all>
                <xsd:element ref="ns2:ReceivedTime" minOccurs="0"/>
                <xsd:element ref="ns2:From" minOccurs="0"/>
                <xsd:element ref="ns2:Recipi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402069-3699-4f9d-ade4-ee3243299462" elementFormDefault="qualified">
    <xsd:import namespace="http://schemas.microsoft.com/office/2006/documentManagement/types"/>
    <xsd:import namespace="http://schemas.microsoft.com/office/infopath/2007/PartnerControls"/>
    <xsd:element name="ReceivedTime" ma:index="8" nillable="true" ma:displayName="ReceivedTime" ma:internalName="ReceivedTime">
      <xsd:simpleType>
        <xsd:restriction base="dms:DateTime"/>
      </xsd:simpleType>
    </xsd:element>
    <xsd:element name="From" ma:index="9" nillable="true" ma:displayName="From" ma:internalName="From">
      <xsd:simpleType>
        <xsd:restriction base="dms:Text"/>
      </xsd:simpleType>
    </xsd:element>
    <xsd:element name="Recipients" ma:index="10" nillable="true" ma:displayName="Recipients" ma:internalName="Recipient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rom xmlns="b0402069-3699-4f9d-ade4-ee3243299462" xsi:nil="true"/>
    <ReceivedTime xmlns="b0402069-3699-4f9d-ade4-ee3243299462" xsi:nil="true"/>
    <Recipients xmlns="b0402069-3699-4f9d-ade4-ee3243299462" xsi:nil="true"/>
  </documentManagement>
</p:properties>
</file>

<file path=customXml/itemProps1.xml><?xml version="1.0" encoding="utf-8"?>
<ds:datastoreItem xmlns:ds="http://schemas.openxmlformats.org/officeDocument/2006/customXml" ds:itemID="{9BDBBC68-5599-43B3-98F0-2D70EE49EA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402069-3699-4f9d-ade4-ee3243299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E914AD-DE0F-42B6-BB9F-2ED1B161B0AA}">
  <ds:schemaRefs>
    <ds:schemaRef ds:uri="http://schemas.microsoft.com/sharepoint/v3/contenttype/forms"/>
  </ds:schemaRefs>
</ds:datastoreItem>
</file>

<file path=customXml/itemProps3.xml><?xml version="1.0" encoding="utf-8"?>
<ds:datastoreItem xmlns:ds="http://schemas.openxmlformats.org/officeDocument/2006/customXml" ds:itemID="{74C8BE20-8545-4714-9ADA-D958A1E4D131}">
  <ds:schemaRefs>
    <ds:schemaRef ds:uri="b0402069-3699-4f9d-ade4-ee3243299462"/>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Inputs</vt:lpstr>
      <vt:lpstr>Model Outputs</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Stowell</dc:creator>
  <cp:lastModifiedBy>Cookson, Craig</cp:lastModifiedBy>
  <dcterms:created xsi:type="dcterms:W3CDTF">2014-12-16T18:37:59Z</dcterms:created>
  <dcterms:modified xsi:type="dcterms:W3CDTF">2015-06-03T14:07:38Z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0x0101005A8AF6BB37AF6F49B539802DF0BC2BFE</vt:lpwstr>
  </property>
</Properties>
</file>